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loterjesztesek\Testületi anyag\2024. évi\2024.09\KT\"/>
    </mc:Choice>
  </mc:AlternateContent>
  <xr:revisionPtr revIDLastSave="0" documentId="8_{3FBCC29B-EDB8-4A2E-AC76-40DAF6DD032B}" xr6:coauthVersionLast="47" xr6:coauthVersionMax="47" xr10:uidLastSave="{00000000-0000-0000-0000-000000000000}"/>
  <bookViews>
    <workbookView xWindow="-120" yWindow="-120" windowWidth="29040" windowHeight="15840" firstSheet="17" activeTab="20" xr2:uid="{1E8A215A-3332-430C-A0A8-E538F976BA5F}"/>
  </bookViews>
  <sheets>
    <sheet name="bev-int" sheetId="1" r:id="rId1"/>
    <sheet name="kiad-int" sheetId="26" r:id="rId2"/>
    <sheet name="szoc_k_" sheetId="2" r:id="rId3"/>
    <sheet name="beruh" sheetId="3" r:id="rId4"/>
    <sheet name="felúj" sheetId="28" r:id="rId5"/>
    <sheet name="eu_s pr_" sheetId="4" r:id="rId6"/>
    <sheet name="belső fin_ " sheetId="5" r:id="rId7"/>
    <sheet name="külső fin_" sheetId="6" r:id="rId8"/>
    <sheet name="tart_" sheetId="7" r:id="rId9"/>
    <sheet name="önk.bev.cofog" sheetId="32" r:id="rId10"/>
    <sheet name="önk.kiad.cofog" sheetId="9" r:id="rId11"/>
    <sheet name="ph bev.cofog" sheetId="33" r:id="rId12"/>
    <sheet name="ph kiad cofog" sheetId="27" r:id="rId13"/>
    <sheet name="i-bev" sheetId="34" r:id="rId14"/>
    <sheet name="i-kiad" sheetId="29" r:id="rId15"/>
    <sheet name="létsz" sheetId="10" r:id="rId16"/>
    <sheet name="Stab_tv_" sheetId="11" r:id="rId17"/>
    <sheet name="egyenleg" sheetId="12" r:id="rId18"/>
    <sheet name="b_k_ré" sheetId="13" r:id="rId19"/>
    <sheet name="hköt" sheetId="15" r:id="rId20"/>
    <sheet name="mérl_" sheetId="18" r:id="rId21"/>
    <sheet name="m_mérl_" sheetId="19" r:id="rId22"/>
    <sheet name="f_mérl_" sheetId="20" r:id="rId23"/>
    <sheet name="kedv_" sheetId="22" r:id="rId24"/>
    <sheet name="3émérl" sheetId="21" r:id="rId25"/>
    <sheet name="eifelh" sheetId="23" r:id="rId26"/>
    <sheet name="Áll.hj." sheetId="25" r:id="rId27"/>
    <sheet name="maradv.cél szerinti tag" sheetId="35" r:id="rId28"/>
    <sheet name="Munka2" sheetId="31" r:id="rId29"/>
  </sheets>
  <definedNames>
    <definedName name="_xlnm.Print_Titles" localSheetId="18">b_k_ré!$1:$5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H25" i="9"/>
  <c r="J25" i="9"/>
  <c r="J10" i="9"/>
  <c r="J12" i="9"/>
  <c r="J30" i="9"/>
  <c r="J13" i="9"/>
  <c r="J17" i="9"/>
  <c r="J26" i="9"/>
  <c r="J20" i="9"/>
  <c r="J41" i="9"/>
  <c r="J23" i="9"/>
  <c r="J11" i="9"/>
  <c r="J14" i="9"/>
  <c r="J32" i="9"/>
  <c r="J50" i="9"/>
  <c r="J56" i="9"/>
  <c r="J57" i="9"/>
  <c r="J34" i="9"/>
  <c r="J33" i="9"/>
  <c r="T57" i="9"/>
  <c r="T11" i="9"/>
  <c r="R56" i="9"/>
  <c r="P10" i="9"/>
  <c r="R12" i="9"/>
  <c r="R14" i="9"/>
  <c r="R58" i="9"/>
  <c r="R50" i="9"/>
  <c r="AB71" i="9"/>
  <c r="L36" i="9"/>
  <c r="L66" i="9"/>
  <c r="H18" i="9"/>
  <c r="D19" i="9"/>
  <c r="C19" i="9"/>
  <c r="F18" i="9"/>
  <c r="F19" i="32"/>
  <c r="F16" i="32"/>
  <c r="G31" i="29"/>
  <c r="G15" i="29"/>
  <c r="K28" i="29"/>
  <c r="K29" i="29"/>
  <c r="U31" i="29"/>
  <c r="K22" i="29"/>
  <c r="K21" i="29"/>
  <c r="G22" i="29"/>
  <c r="K28" i="34"/>
  <c r="S35" i="34"/>
  <c r="J31" i="27"/>
  <c r="S33" i="33"/>
  <c r="T33" i="33"/>
  <c r="U33" i="33"/>
  <c r="V33" i="33"/>
  <c r="W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R35" i="33"/>
  <c r="S35" i="33"/>
  <c r="F25" i="19"/>
  <c r="C26" i="19"/>
  <c r="L58" i="3"/>
  <c r="E25" i="19"/>
  <c r="B26" i="19"/>
  <c r="F25" i="20"/>
  <c r="C26" i="20"/>
  <c r="E25" i="20"/>
  <c r="B26" i="20"/>
  <c r="K58" i="3"/>
  <c r="I46" i="10"/>
  <c r="J39" i="10"/>
  <c r="I39" i="10"/>
  <c r="H39" i="10"/>
  <c r="J20" i="10"/>
  <c r="J46" i="10"/>
  <c r="I20" i="10"/>
  <c r="H20" i="10"/>
  <c r="H46" i="10"/>
  <c r="H8" i="26"/>
  <c r="H14" i="26"/>
  <c r="H12" i="26"/>
  <c r="P51" i="3"/>
  <c r="I81" i="13"/>
  <c r="G14" i="26"/>
  <c r="G13" i="26"/>
  <c r="G12" i="26"/>
  <c r="G11" i="26"/>
  <c r="G10" i="26"/>
  <c r="G8" i="26"/>
  <c r="F12" i="26"/>
  <c r="F10" i="26"/>
  <c r="F8" i="26"/>
  <c r="E14" i="26"/>
  <c r="E12" i="26"/>
  <c r="E10" i="26"/>
  <c r="E8" i="26"/>
  <c r="D52" i="3"/>
  <c r="D13" i="26"/>
  <c r="D14" i="26"/>
  <c r="D12" i="26"/>
  <c r="D11" i="26"/>
  <c r="D10" i="26"/>
  <c r="D9" i="26"/>
  <c r="D8" i="26"/>
  <c r="D21" i="13"/>
  <c r="F26" i="3"/>
  <c r="I11" i="26"/>
  <c r="J125" i="13"/>
  <c r="D11" i="7"/>
  <c r="D10" i="7"/>
  <c r="D8" i="7"/>
  <c r="G26" i="28"/>
  <c r="G31" i="28"/>
  <c r="G33" i="28"/>
  <c r="G37" i="28"/>
  <c r="G29" i="28"/>
  <c r="D28" i="3"/>
  <c r="D29" i="3"/>
  <c r="F27" i="3"/>
  <c r="D27" i="3"/>
  <c r="F15" i="3"/>
  <c r="D15" i="3"/>
  <c r="F8" i="3"/>
  <c r="F9" i="3"/>
  <c r="D9" i="3"/>
  <c r="D26" i="3"/>
  <c r="J146" i="13"/>
  <c r="D131" i="13"/>
  <c r="D132" i="13"/>
  <c r="D120" i="13"/>
  <c r="J117" i="13"/>
  <c r="J124" i="13"/>
  <c r="D125" i="13"/>
  <c r="J112" i="13"/>
  <c r="D111" i="13"/>
  <c r="I14" i="26"/>
  <c r="I12" i="26"/>
  <c r="I10" i="26"/>
  <c r="I9" i="26"/>
  <c r="I8" i="26"/>
  <c r="I34" i="1"/>
  <c r="J16" i="13"/>
  <c r="J23" i="13"/>
  <c r="I14" i="1"/>
  <c r="H41" i="25"/>
  <c r="H34" i="25"/>
  <c r="J11" i="13"/>
  <c r="D11" i="13"/>
  <c r="H45" i="25"/>
  <c r="H40" i="25"/>
  <c r="H36" i="25"/>
  <c r="H32" i="25"/>
  <c r="E11" i="25"/>
  <c r="E47" i="25"/>
  <c r="E39" i="25"/>
  <c r="E42" i="25"/>
  <c r="E35" i="25"/>
  <c r="E33" i="25"/>
  <c r="E31" i="25"/>
  <c r="E30" i="25"/>
  <c r="E29" i="25"/>
  <c r="E28" i="25"/>
  <c r="E27" i="25"/>
  <c r="E26" i="25"/>
  <c r="E21" i="25"/>
  <c r="E20" i="25"/>
  <c r="E19" i="25"/>
  <c r="E18" i="25"/>
  <c r="E8" i="25"/>
  <c r="E6" i="25"/>
  <c r="H11" i="25"/>
  <c r="C13" i="13"/>
  <c r="C9" i="35"/>
  <c r="C10" i="35"/>
  <c r="C11" i="35"/>
  <c r="C62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B62" i="35"/>
  <c r="C134" i="13"/>
  <c r="C87" i="13"/>
  <c r="C94" i="13"/>
  <c r="C62" i="13"/>
  <c r="C55" i="13"/>
  <c r="G45" i="29"/>
  <c r="G50" i="29"/>
  <c r="D21" i="2"/>
  <c r="E21" i="2"/>
  <c r="F21" i="2"/>
  <c r="G21" i="2"/>
  <c r="H21" i="2"/>
  <c r="C21" i="2"/>
  <c r="H13" i="2"/>
  <c r="G13" i="2"/>
  <c r="F13" i="2"/>
  <c r="E13" i="2"/>
  <c r="B18" i="26"/>
  <c r="F45" i="29"/>
  <c r="D45" i="29"/>
  <c r="B57" i="35"/>
  <c r="B58" i="35"/>
  <c r="B59" i="35"/>
  <c r="B53" i="35"/>
  <c r="B54" i="35"/>
  <c r="B55" i="35"/>
  <c r="B51" i="35"/>
  <c r="B50" i="35"/>
  <c r="B49" i="35"/>
  <c r="B48" i="35"/>
  <c r="B47" i="35"/>
  <c r="B46" i="35"/>
  <c r="B45" i="35"/>
  <c r="B44" i="35"/>
  <c r="B43" i="35"/>
  <c r="B42" i="35"/>
  <c r="B38" i="35"/>
  <c r="B37" i="35"/>
  <c r="B20" i="35"/>
  <c r="B28" i="35"/>
  <c r="B16" i="35"/>
  <c r="H47" i="25"/>
  <c r="J10" i="13"/>
  <c r="D10" i="13"/>
  <c r="H39" i="25"/>
  <c r="H42" i="25"/>
  <c r="J9" i="13"/>
  <c r="D9" i="13"/>
  <c r="H35" i="25"/>
  <c r="H33" i="25"/>
  <c r="H30" i="25"/>
  <c r="H29" i="25"/>
  <c r="H28" i="25"/>
  <c r="H27" i="25"/>
  <c r="H26" i="25"/>
  <c r="H21" i="25"/>
  <c r="H20" i="25"/>
  <c r="H19" i="25"/>
  <c r="H18" i="25"/>
  <c r="H8" i="25"/>
  <c r="H6" i="25"/>
  <c r="D11" i="9"/>
  <c r="Z79" i="9"/>
  <c r="AA79" i="9"/>
  <c r="AB79" i="9"/>
  <c r="AC79" i="9"/>
  <c r="AD79" i="9"/>
  <c r="Y79" i="9"/>
  <c r="C47" i="13"/>
  <c r="D44" i="13"/>
  <c r="V56" i="29"/>
  <c r="W56" i="29"/>
  <c r="X56" i="29"/>
  <c r="Y56" i="29"/>
  <c r="Z56" i="29"/>
  <c r="AA56" i="29"/>
  <c r="AB56" i="29"/>
  <c r="AC56" i="29"/>
  <c r="L56" i="29"/>
  <c r="M56" i="29"/>
  <c r="N56" i="29"/>
  <c r="O56" i="29"/>
  <c r="P56" i="29"/>
  <c r="Q56" i="29"/>
  <c r="R56" i="29"/>
  <c r="S56" i="29"/>
  <c r="T56" i="29"/>
  <c r="U56" i="29"/>
  <c r="K56" i="29"/>
  <c r="I56" i="29"/>
  <c r="G56" i="29"/>
  <c r="J56" i="29"/>
  <c r="H56" i="29"/>
  <c r="F56" i="29"/>
  <c r="E30" i="29"/>
  <c r="E31" i="29"/>
  <c r="E32" i="29"/>
  <c r="E33" i="29"/>
  <c r="D30" i="29"/>
  <c r="D31" i="29"/>
  <c r="D32" i="29"/>
  <c r="D33" i="29"/>
  <c r="D32" i="34"/>
  <c r="E32" i="34"/>
  <c r="E31" i="34"/>
  <c r="D31" i="34"/>
  <c r="C48" i="3"/>
  <c r="C49" i="3"/>
  <c r="C50" i="3"/>
  <c r="C51" i="3"/>
  <c r="D48" i="3"/>
  <c r="D49" i="3"/>
  <c r="D50" i="3"/>
  <c r="D51" i="3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D46" i="9"/>
  <c r="D47" i="9"/>
  <c r="D48" i="9"/>
  <c r="D49" i="9"/>
  <c r="C46" i="9"/>
  <c r="C47" i="9"/>
  <c r="C48" i="9"/>
  <c r="C49" i="9"/>
  <c r="E26" i="28"/>
  <c r="E27" i="28"/>
  <c r="E28" i="28"/>
  <c r="E29" i="28"/>
  <c r="E30" i="28"/>
  <c r="E31" i="28"/>
  <c r="E32" i="28"/>
  <c r="E33" i="28"/>
  <c r="E34" i="28"/>
  <c r="E35" i="28"/>
  <c r="E36" i="28"/>
  <c r="D26" i="28"/>
  <c r="D27" i="28"/>
  <c r="D28" i="28"/>
  <c r="D29" i="28"/>
  <c r="D30" i="28"/>
  <c r="D31" i="28"/>
  <c r="D32" i="28"/>
  <c r="D33" i="28"/>
  <c r="D34" i="28"/>
  <c r="D35" i="28"/>
  <c r="D36" i="28"/>
  <c r="E19" i="28"/>
  <c r="E20" i="28"/>
  <c r="E21" i="28"/>
  <c r="E22" i="28"/>
  <c r="E23" i="28"/>
  <c r="E24" i="28"/>
  <c r="E25" i="28"/>
  <c r="D19" i="28"/>
  <c r="D20" i="28"/>
  <c r="D21" i="28"/>
  <c r="D22" i="28"/>
  <c r="D23" i="28"/>
  <c r="D24" i="28"/>
  <c r="D25" i="28"/>
  <c r="D10" i="3"/>
  <c r="C10" i="3"/>
  <c r="D24" i="3"/>
  <c r="D25" i="3"/>
  <c r="C24" i="3"/>
  <c r="C25" i="3"/>
  <c r="H15" i="2"/>
  <c r="H16" i="2"/>
  <c r="G15" i="2"/>
  <c r="G16" i="2"/>
  <c r="D112" i="13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T56" i="34"/>
  <c r="U48" i="34"/>
  <c r="H37" i="33"/>
  <c r="I37" i="33"/>
  <c r="J37" i="33"/>
  <c r="K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F37" i="33"/>
  <c r="G37" i="33"/>
  <c r="E13" i="33"/>
  <c r="H26" i="2"/>
  <c r="G26" i="2"/>
  <c r="G17" i="2"/>
  <c r="C20" i="2"/>
  <c r="A25" i="23"/>
  <c r="D36" i="7"/>
  <c r="D29" i="7"/>
  <c r="D24" i="7"/>
  <c r="D26" i="7"/>
  <c r="D21" i="7"/>
  <c r="D17" i="7"/>
  <c r="D13" i="7"/>
  <c r="D104" i="13"/>
  <c r="D105" i="13"/>
  <c r="D106" i="13"/>
  <c r="C13" i="11"/>
  <c r="N27" i="23"/>
  <c r="B27" i="35"/>
  <c r="B26" i="35"/>
  <c r="B25" i="35"/>
  <c r="B24" i="35"/>
  <c r="B21" i="35"/>
  <c r="B22" i="35"/>
  <c r="B23" i="35"/>
  <c r="C12" i="11"/>
  <c r="D67" i="9"/>
  <c r="C67" i="9"/>
  <c r="D28" i="32"/>
  <c r="C28" i="32"/>
  <c r="D19" i="33"/>
  <c r="E19" i="33"/>
  <c r="D20" i="33"/>
  <c r="D33" i="33"/>
  <c r="E20" i="33"/>
  <c r="D13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T31" i="33"/>
  <c r="U31" i="33"/>
  <c r="V31" i="33"/>
  <c r="W31" i="33"/>
  <c r="E45" i="29"/>
  <c r="E18" i="28"/>
  <c r="D18" i="28"/>
  <c r="E17" i="28"/>
  <c r="D17" i="28"/>
  <c r="E16" i="28"/>
  <c r="D16" i="28"/>
  <c r="D12" i="3"/>
  <c r="C12" i="3"/>
  <c r="E37" i="28"/>
  <c r="E38" i="28"/>
  <c r="E39" i="28"/>
  <c r="D37" i="28"/>
  <c r="D38" i="28"/>
  <c r="D39" i="28"/>
  <c r="D39" i="3"/>
  <c r="D40" i="3"/>
  <c r="D41" i="3"/>
  <c r="D42" i="3"/>
  <c r="D43" i="3"/>
  <c r="D44" i="3"/>
  <c r="C39" i="3"/>
  <c r="C40" i="3"/>
  <c r="C41" i="3"/>
  <c r="C42" i="3"/>
  <c r="C43" i="3"/>
  <c r="C44" i="3"/>
  <c r="D20" i="13"/>
  <c r="C38" i="21"/>
  <c r="C32" i="21"/>
  <c r="C28" i="21"/>
  <c r="C16" i="21"/>
  <c r="C99" i="13"/>
  <c r="C82" i="13"/>
  <c r="C41" i="13"/>
  <c r="C35" i="13"/>
  <c r="D17" i="11"/>
  <c r="E17" i="11"/>
  <c r="D18" i="11"/>
  <c r="D23" i="11"/>
  <c r="E18" i="11"/>
  <c r="D22" i="11"/>
  <c r="E22" i="11"/>
  <c r="E23" i="11"/>
  <c r="G23" i="2"/>
  <c r="G24" i="2"/>
  <c r="G18" i="2"/>
  <c r="G19" i="2"/>
  <c r="G22" i="2"/>
  <c r="G25" i="2"/>
  <c r="G14" i="2"/>
  <c r="G20" i="2"/>
  <c r="I16" i="26"/>
  <c r="B21" i="1"/>
  <c r="D20" i="10"/>
  <c r="D46" i="10"/>
  <c r="AB75" i="9"/>
  <c r="C69" i="9"/>
  <c r="D11" i="3"/>
  <c r="D98" i="13"/>
  <c r="D97" i="13"/>
  <c r="J99" i="13"/>
  <c r="D99" i="13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F31" i="27"/>
  <c r="G31" i="27"/>
  <c r="H31" i="27"/>
  <c r="I31" i="27"/>
  <c r="C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E31" i="27"/>
  <c r="D13" i="27"/>
  <c r="C13" i="27"/>
  <c r="D14" i="33"/>
  <c r="E13" i="28"/>
  <c r="E14" i="28"/>
  <c r="E15" i="28"/>
  <c r="D15" i="28"/>
  <c r="D14" i="28"/>
  <c r="D13" i="28"/>
  <c r="E12" i="28"/>
  <c r="D12" i="28"/>
  <c r="E11" i="28"/>
  <c r="D11" i="28"/>
  <c r="E10" i="28"/>
  <c r="D10" i="28"/>
  <c r="E9" i="28"/>
  <c r="D9" i="28"/>
  <c r="E8" i="28"/>
  <c r="D8" i="28"/>
  <c r="D18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3" i="3"/>
  <c r="C23" i="3"/>
  <c r="D22" i="3"/>
  <c r="C22" i="3"/>
  <c r="D21" i="3"/>
  <c r="C21" i="3"/>
  <c r="D20" i="3"/>
  <c r="C20" i="3"/>
  <c r="D19" i="3"/>
  <c r="C19" i="3"/>
  <c r="C18" i="3"/>
  <c r="D17" i="3"/>
  <c r="C17" i="3"/>
  <c r="D16" i="3"/>
  <c r="C16" i="3"/>
  <c r="D14" i="3"/>
  <c r="C14" i="3"/>
  <c r="D13" i="3"/>
  <c r="C13" i="3"/>
  <c r="C11" i="3"/>
  <c r="C9" i="3"/>
  <c r="D8" i="3"/>
  <c r="C8" i="3"/>
  <c r="C18" i="32"/>
  <c r="C19" i="32"/>
  <c r="C45" i="3"/>
  <c r="C46" i="3"/>
  <c r="N23" i="23"/>
  <c r="N21" i="23"/>
  <c r="B34" i="35"/>
  <c r="B35" i="35"/>
  <c r="B36" i="35"/>
  <c r="B39" i="35"/>
  <c r="B40" i="35"/>
  <c r="B41" i="35"/>
  <c r="B31" i="35"/>
  <c r="B19" i="35"/>
  <c r="B18" i="35"/>
  <c r="B17" i="35"/>
  <c r="B15" i="35"/>
  <c r="B14" i="35"/>
  <c r="B8" i="35"/>
  <c r="D43" i="34"/>
  <c r="D42" i="34"/>
  <c r="D35" i="34"/>
  <c r="H26" i="34"/>
  <c r="D15" i="26"/>
  <c r="C29" i="32"/>
  <c r="C41" i="32"/>
  <c r="C27" i="32"/>
  <c r="C17" i="32"/>
  <c r="C66" i="9"/>
  <c r="C55" i="9"/>
  <c r="C64" i="9"/>
  <c r="C63" i="9"/>
  <c r="C61" i="9"/>
  <c r="C59" i="9"/>
  <c r="C54" i="9"/>
  <c r="C51" i="9"/>
  <c r="C50" i="9"/>
  <c r="C44" i="9"/>
  <c r="C43" i="9"/>
  <c r="C42" i="9"/>
  <c r="C39" i="9"/>
  <c r="C37" i="9"/>
  <c r="C35" i="9"/>
  <c r="C34" i="9"/>
  <c r="C32" i="9"/>
  <c r="C28" i="9"/>
  <c r="C26" i="9"/>
  <c r="C25" i="9"/>
  <c r="C22" i="9"/>
  <c r="C18" i="9"/>
  <c r="C17" i="9"/>
  <c r="C16" i="9"/>
  <c r="D16" i="9"/>
  <c r="C14" i="9"/>
  <c r="E75" i="9"/>
  <c r="E77" i="9"/>
  <c r="E82" i="9"/>
  <c r="S75" i="9"/>
  <c r="S77" i="9"/>
  <c r="S82" i="9"/>
  <c r="I75" i="9"/>
  <c r="I77" i="9"/>
  <c r="I82" i="9"/>
  <c r="D48" i="29"/>
  <c r="E48" i="29"/>
  <c r="D47" i="29"/>
  <c r="D46" i="29"/>
  <c r="D44" i="29"/>
  <c r="D43" i="29"/>
  <c r="D42" i="29"/>
  <c r="D41" i="29"/>
  <c r="D40" i="29"/>
  <c r="L37" i="29"/>
  <c r="D29" i="29"/>
  <c r="T37" i="29"/>
  <c r="D25" i="29"/>
  <c r="D24" i="29"/>
  <c r="D22" i="29"/>
  <c r="T26" i="29"/>
  <c r="F26" i="29"/>
  <c r="D16" i="29"/>
  <c r="D15" i="29"/>
  <c r="F18" i="29"/>
  <c r="D15" i="33"/>
  <c r="D18" i="33"/>
  <c r="H15" i="26"/>
  <c r="E15" i="26"/>
  <c r="C12" i="26"/>
  <c r="F13" i="18"/>
  <c r="C9" i="26"/>
  <c r="F10" i="18"/>
  <c r="F34" i="31"/>
  <c r="I15" i="26"/>
  <c r="D65" i="13"/>
  <c r="C11" i="11"/>
  <c r="V75" i="9"/>
  <c r="G40" i="28"/>
  <c r="I20" i="26"/>
  <c r="J60" i="32"/>
  <c r="H60" i="32"/>
  <c r="H62" i="32"/>
  <c r="D30" i="32"/>
  <c r="D25" i="32"/>
  <c r="E34" i="29"/>
  <c r="D34" i="29"/>
  <c r="F54" i="34"/>
  <c r="G54" i="34"/>
  <c r="H54" i="34"/>
  <c r="I54" i="34"/>
  <c r="J54" i="34"/>
  <c r="K54" i="34"/>
  <c r="L54" i="34"/>
  <c r="M54" i="34"/>
  <c r="N54" i="34"/>
  <c r="O54" i="34"/>
  <c r="P54" i="34"/>
  <c r="Q54" i="34"/>
  <c r="S54" i="34"/>
  <c r="T54" i="34"/>
  <c r="U54" i="34"/>
  <c r="U52" i="34"/>
  <c r="E33" i="34"/>
  <c r="D33" i="34"/>
  <c r="Q62" i="35"/>
  <c r="E37" i="1"/>
  <c r="E39" i="1"/>
  <c r="G37" i="1"/>
  <c r="G39" i="1"/>
  <c r="G42" i="1"/>
  <c r="D119" i="13"/>
  <c r="D60" i="13"/>
  <c r="J55" i="13"/>
  <c r="D39" i="13"/>
  <c r="D19" i="13"/>
  <c r="E45" i="34"/>
  <c r="D45" i="34"/>
  <c r="N17" i="23"/>
  <c r="D52" i="9"/>
  <c r="D50" i="9"/>
  <c r="D64" i="9"/>
  <c r="D69" i="9"/>
  <c r="D65" i="9"/>
  <c r="F75" i="9"/>
  <c r="F77" i="9"/>
  <c r="F82" i="9"/>
  <c r="F60" i="32"/>
  <c r="F62" i="32"/>
  <c r="D16" i="32"/>
  <c r="E35" i="34"/>
  <c r="G82" i="13"/>
  <c r="G83" i="13"/>
  <c r="F29" i="1"/>
  <c r="F82" i="13"/>
  <c r="F83" i="13"/>
  <c r="E29" i="1"/>
  <c r="D146" i="13"/>
  <c r="F37" i="1"/>
  <c r="F39" i="1"/>
  <c r="F42" i="1"/>
  <c r="J31" i="13"/>
  <c r="D12" i="13"/>
  <c r="D61" i="9"/>
  <c r="D54" i="9"/>
  <c r="D20" i="9"/>
  <c r="C20" i="9"/>
  <c r="E16" i="29"/>
  <c r="E15" i="29"/>
  <c r="N53" i="3"/>
  <c r="G19" i="26"/>
  <c r="D62" i="35"/>
  <c r="E62" i="35"/>
  <c r="D24" i="32"/>
  <c r="D18" i="32"/>
  <c r="D108" i="13"/>
  <c r="W33" i="27"/>
  <c r="X33" i="27"/>
  <c r="Y33" i="27"/>
  <c r="Z33" i="27"/>
  <c r="AA33" i="27"/>
  <c r="AB33" i="27"/>
  <c r="G17" i="26"/>
  <c r="B61" i="35"/>
  <c r="B9" i="35"/>
  <c r="B10" i="35"/>
  <c r="B11" i="35"/>
  <c r="B12" i="35"/>
  <c r="B13" i="35"/>
  <c r="B29" i="35"/>
  <c r="B30" i="35"/>
  <c r="B32" i="35"/>
  <c r="B33" i="35"/>
  <c r="B52" i="35"/>
  <c r="B56" i="35"/>
  <c r="C8" i="35"/>
  <c r="O62" i="35"/>
  <c r="N62" i="35"/>
  <c r="F20" i="10"/>
  <c r="F46" i="10"/>
  <c r="E20" i="10"/>
  <c r="D39" i="10"/>
  <c r="D18" i="13"/>
  <c r="E58" i="13"/>
  <c r="E53" i="3"/>
  <c r="C52" i="9"/>
  <c r="D71" i="9"/>
  <c r="C71" i="9"/>
  <c r="D66" i="9"/>
  <c r="D68" i="9"/>
  <c r="D70" i="9"/>
  <c r="C72" i="9"/>
  <c r="D72" i="9"/>
  <c r="C73" i="9"/>
  <c r="D73" i="9"/>
  <c r="C56" i="9"/>
  <c r="D56" i="9"/>
  <c r="C57" i="9"/>
  <c r="D57" i="9"/>
  <c r="C58" i="9"/>
  <c r="D58" i="9"/>
  <c r="D59" i="9"/>
  <c r="C60" i="9"/>
  <c r="D60" i="9"/>
  <c r="C62" i="9"/>
  <c r="D62" i="9"/>
  <c r="D63" i="9"/>
  <c r="D51" i="9"/>
  <c r="C53" i="9"/>
  <c r="D53" i="9"/>
  <c r="D55" i="9"/>
  <c r="D40" i="9"/>
  <c r="C40" i="9"/>
  <c r="E64" i="32"/>
  <c r="F64" i="32"/>
  <c r="G64" i="32"/>
  <c r="H64" i="32"/>
  <c r="I64" i="32"/>
  <c r="J64" i="32"/>
  <c r="K64" i="32"/>
  <c r="L64" i="32"/>
  <c r="M64" i="32"/>
  <c r="N64" i="32"/>
  <c r="O64" i="32"/>
  <c r="P64" i="32"/>
  <c r="Q64" i="32"/>
  <c r="R64" i="32"/>
  <c r="S64" i="32"/>
  <c r="T64" i="32"/>
  <c r="U64" i="32"/>
  <c r="V64" i="32"/>
  <c r="W64" i="32"/>
  <c r="X64" i="32"/>
  <c r="Y64" i="32"/>
  <c r="Z64" i="32"/>
  <c r="C29" i="7"/>
  <c r="C24" i="7"/>
  <c r="E12" i="20"/>
  <c r="D47" i="3"/>
  <c r="C47" i="3"/>
  <c r="I55" i="13"/>
  <c r="D23" i="29"/>
  <c r="E23" i="29"/>
  <c r="D19" i="34"/>
  <c r="E19" i="34"/>
  <c r="E24" i="29"/>
  <c r="E24" i="34"/>
  <c r="E23" i="34"/>
  <c r="D23" i="34"/>
  <c r="E22" i="34"/>
  <c r="D22" i="34"/>
  <c r="G7" i="26"/>
  <c r="H14" i="2"/>
  <c r="H20" i="2"/>
  <c r="H17" i="2"/>
  <c r="H18" i="2"/>
  <c r="H19" i="2"/>
  <c r="D24" i="34"/>
  <c r="C12" i="32"/>
  <c r="C64" i="32"/>
  <c r="D12" i="32"/>
  <c r="D64" i="32"/>
  <c r="D13" i="32"/>
  <c r="C14" i="32"/>
  <c r="D14" i="32"/>
  <c r="C15" i="32"/>
  <c r="D15" i="32"/>
  <c r="C16" i="32"/>
  <c r="D19" i="32"/>
  <c r="C20" i="32"/>
  <c r="D20" i="32"/>
  <c r="C21" i="32"/>
  <c r="D21" i="32"/>
  <c r="C22" i="32"/>
  <c r="C23" i="32"/>
  <c r="D23" i="32"/>
  <c r="D26" i="32"/>
  <c r="D29" i="32"/>
  <c r="C30" i="32"/>
  <c r="C31" i="32"/>
  <c r="D31" i="32"/>
  <c r="C32" i="32"/>
  <c r="C33" i="32"/>
  <c r="D33" i="32"/>
  <c r="C34" i="32"/>
  <c r="D34" i="32"/>
  <c r="C35" i="32"/>
  <c r="D35" i="32"/>
  <c r="C36" i="32"/>
  <c r="D36" i="32"/>
  <c r="C37" i="32"/>
  <c r="D37" i="32"/>
  <c r="C38" i="32"/>
  <c r="D38" i="32"/>
  <c r="C39" i="32"/>
  <c r="D39" i="32"/>
  <c r="C40" i="32"/>
  <c r="D40" i="32"/>
  <c r="D41" i="32"/>
  <c r="C42" i="32"/>
  <c r="D42" i="32"/>
  <c r="C43" i="32"/>
  <c r="D43" i="32"/>
  <c r="C44" i="32"/>
  <c r="D44" i="32"/>
  <c r="C45" i="32"/>
  <c r="D45" i="32"/>
  <c r="C46" i="32"/>
  <c r="D46" i="32"/>
  <c r="C47" i="32"/>
  <c r="D47" i="32"/>
  <c r="C48" i="32"/>
  <c r="D48" i="32"/>
  <c r="C49" i="32"/>
  <c r="D49" i="32"/>
  <c r="C50" i="32"/>
  <c r="D50" i="32"/>
  <c r="C51" i="32"/>
  <c r="D51" i="32"/>
  <c r="C52" i="32"/>
  <c r="D52" i="32"/>
  <c r="C53" i="32"/>
  <c r="D53" i="32"/>
  <c r="C54" i="32"/>
  <c r="D54" i="32"/>
  <c r="C55" i="32"/>
  <c r="D55" i="32"/>
  <c r="C56" i="32"/>
  <c r="D56" i="32"/>
  <c r="C57" i="32"/>
  <c r="D57" i="32"/>
  <c r="C58" i="32"/>
  <c r="D58" i="32"/>
  <c r="C11" i="32"/>
  <c r="X60" i="32"/>
  <c r="X62" i="32"/>
  <c r="W60" i="32"/>
  <c r="C13" i="32"/>
  <c r="D32" i="32"/>
  <c r="D27" i="32"/>
  <c r="D19" i="5"/>
  <c r="N15" i="23"/>
  <c r="D46" i="3"/>
  <c r="D29" i="27"/>
  <c r="C29" i="27"/>
  <c r="H23" i="2"/>
  <c r="H24" i="2"/>
  <c r="H22" i="2"/>
  <c r="H25" i="2"/>
  <c r="D28" i="9"/>
  <c r="D25" i="2"/>
  <c r="E25" i="2"/>
  <c r="F25" i="2"/>
  <c r="C25" i="2"/>
  <c r="D107" i="13"/>
  <c r="D21" i="27"/>
  <c r="C21" i="27"/>
  <c r="E29" i="29"/>
  <c r="E30" i="34"/>
  <c r="D30" i="34"/>
  <c r="E29" i="34"/>
  <c r="D29" i="34"/>
  <c r="F62" i="35"/>
  <c r="P62" i="35"/>
  <c r="I62" i="35"/>
  <c r="W62" i="35"/>
  <c r="V62" i="35"/>
  <c r="G62" i="35"/>
  <c r="K62" i="35"/>
  <c r="H62" i="35"/>
  <c r="U62" i="35"/>
  <c r="T62" i="35"/>
  <c r="S62" i="35"/>
  <c r="R62" i="35"/>
  <c r="M62" i="35"/>
  <c r="L62" i="35"/>
  <c r="D17" i="32"/>
  <c r="D45" i="3"/>
  <c r="C124" i="13"/>
  <c r="D121" i="13"/>
  <c r="D122" i="13"/>
  <c r="D123" i="13"/>
  <c r="G17" i="15"/>
  <c r="A27" i="23"/>
  <c r="C26" i="32"/>
  <c r="D29" i="13"/>
  <c r="D30" i="13"/>
  <c r="F35" i="33"/>
  <c r="G35" i="33"/>
  <c r="H35" i="33"/>
  <c r="I35" i="33"/>
  <c r="J35" i="33"/>
  <c r="K35" i="33"/>
  <c r="L35" i="33"/>
  <c r="M35" i="33"/>
  <c r="N35" i="33"/>
  <c r="O35" i="33"/>
  <c r="P35" i="33"/>
  <c r="Q35" i="33"/>
  <c r="T35" i="33"/>
  <c r="U35" i="33"/>
  <c r="V35" i="33"/>
  <c r="W35" i="33"/>
  <c r="E16" i="33"/>
  <c r="D16" i="33"/>
  <c r="F39" i="10"/>
  <c r="E39" i="10"/>
  <c r="F55" i="13"/>
  <c r="F16" i="4"/>
  <c r="D41" i="9"/>
  <c r="C41" i="9"/>
  <c r="F40" i="28"/>
  <c r="D40" i="28"/>
  <c r="F114" i="13"/>
  <c r="G114" i="13"/>
  <c r="F17" i="26"/>
  <c r="H114" i="13"/>
  <c r="I114" i="13"/>
  <c r="E114" i="13"/>
  <c r="D17" i="26"/>
  <c r="D18" i="26"/>
  <c r="C114" i="13"/>
  <c r="K26" i="29"/>
  <c r="K50" i="29"/>
  <c r="K18" i="29"/>
  <c r="I50" i="29"/>
  <c r="I26" i="29"/>
  <c r="I18" i="29"/>
  <c r="G26" i="29"/>
  <c r="G18" i="29"/>
  <c r="D23" i="27"/>
  <c r="C23" i="27"/>
  <c r="C1" i="15"/>
  <c r="K1" i="9"/>
  <c r="E1" i="32"/>
  <c r="C149" i="13"/>
  <c r="C31" i="13"/>
  <c r="G12" i="2"/>
  <c r="H16" i="26"/>
  <c r="H12" i="2"/>
  <c r="D51" i="13"/>
  <c r="E18" i="33"/>
  <c r="E27" i="33"/>
  <c r="D27" i="33"/>
  <c r="L75" i="9"/>
  <c r="L77" i="9"/>
  <c r="L82" i="9"/>
  <c r="D20" i="2"/>
  <c r="D89" i="13"/>
  <c r="J93" i="13"/>
  <c r="N22" i="23"/>
  <c r="N24" i="23"/>
  <c r="N25" i="23"/>
  <c r="N26" i="23"/>
  <c r="N28" i="23"/>
  <c r="N29" i="23"/>
  <c r="N30" i="23"/>
  <c r="N31" i="23"/>
  <c r="N8" i="23"/>
  <c r="N9" i="23"/>
  <c r="N10" i="23"/>
  <c r="N11" i="23"/>
  <c r="N12" i="23"/>
  <c r="N13" i="23"/>
  <c r="N14" i="23"/>
  <c r="N16" i="23"/>
  <c r="N18" i="23"/>
  <c r="N7" i="23"/>
  <c r="D18" i="9"/>
  <c r="D15" i="13"/>
  <c r="D14" i="13"/>
  <c r="I10" i="1"/>
  <c r="C10" i="1"/>
  <c r="E93" i="13"/>
  <c r="F93" i="13"/>
  <c r="G93" i="13"/>
  <c r="H93" i="13"/>
  <c r="I93" i="13"/>
  <c r="D88" i="13"/>
  <c r="E60" i="32"/>
  <c r="E62" i="32"/>
  <c r="G60" i="32"/>
  <c r="G62" i="32"/>
  <c r="I60" i="32"/>
  <c r="I62" i="32"/>
  <c r="K60" i="32"/>
  <c r="L60" i="32"/>
  <c r="L62" i="32"/>
  <c r="M60" i="32"/>
  <c r="M62" i="32"/>
  <c r="N60" i="32"/>
  <c r="N62" i="32"/>
  <c r="Q60" i="32"/>
  <c r="Q62" i="32"/>
  <c r="R60" i="32"/>
  <c r="S60" i="32"/>
  <c r="S62" i="32"/>
  <c r="T60" i="32"/>
  <c r="T62" i="32"/>
  <c r="U60" i="32"/>
  <c r="U62" i="32"/>
  <c r="V60" i="32"/>
  <c r="V62" i="32"/>
  <c r="Y60" i="32"/>
  <c r="Y62" i="32"/>
  <c r="Z60" i="32"/>
  <c r="Z62" i="32"/>
  <c r="D109" i="13"/>
  <c r="D24" i="9"/>
  <c r="C24" i="9"/>
  <c r="D20" i="27"/>
  <c r="C20" i="27"/>
  <c r="A23" i="5"/>
  <c r="C20" i="6"/>
  <c r="D45" i="9"/>
  <c r="C45" i="9"/>
  <c r="C79" i="9"/>
  <c r="C77" i="9"/>
  <c r="C82" i="9"/>
  <c r="D42" i="9"/>
  <c r="E11" i="20"/>
  <c r="E10" i="20"/>
  <c r="E9" i="20"/>
  <c r="B30" i="20"/>
  <c r="B29" i="20"/>
  <c r="B12" i="20"/>
  <c r="B20" i="20"/>
  <c r="B10" i="20"/>
  <c r="B9" i="20"/>
  <c r="E30" i="19"/>
  <c r="E29" i="19"/>
  <c r="E26" i="19"/>
  <c r="E24" i="19"/>
  <c r="E23" i="19"/>
  <c r="E22" i="19"/>
  <c r="E21" i="19"/>
  <c r="E16" i="19"/>
  <c r="E15" i="19"/>
  <c r="E14" i="19"/>
  <c r="E13" i="19"/>
  <c r="E12" i="19"/>
  <c r="E11" i="19"/>
  <c r="E10" i="19"/>
  <c r="B30" i="19"/>
  <c r="B29" i="19"/>
  <c r="B25" i="19"/>
  <c r="B24" i="19"/>
  <c r="B22" i="19"/>
  <c r="B21" i="19"/>
  <c r="B13" i="19"/>
  <c r="B12" i="19"/>
  <c r="E32" i="18"/>
  <c r="E31" i="18"/>
  <c r="E28" i="18"/>
  <c r="E27" i="18"/>
  <c r="E26" i="18"/>
  <c r="E25" i="18"/>
  <c r="E24" i="18"/>
  <c r="E23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B32" i="18"/>
  <c r="B31" i="18"/>
  <c r="B29" i="18"/>
  <c r="B27" i="19"/>
  <c r="B28" i="18"/>
  <c r="B27" i="18"/>
  <c r="B26" i="18"/>
  <c r="B25" i="18"/>
  <c r="B23" i="19"/>
  <c r="B28" i="19"/>
  <c r="B31" i="19"/>
  <c r="B24" i="18"/>
  <c r="B23" i="18"/>
  <c r="B15" i="18"/>
  <c r="B14" i="18"/>
  <c r="B13" i="18"/>
  <c r="B12" i="18"/>
  <c r="B1" i="25"/>
  <c r="R1" i="35"/>
  <c r="I1" i="23"/>
  <c r="B2" i="22"/>
  <c r="B1" i="21"/>
  <c r="D1" i="20"/>
  <c r="D3" i="19"/>
  <c r="D3" i="18"/>
  <c r="C38" i="13"/>
  <c r="C42" i="13"/>
  <c r="C28" i="13"/>
  <c r="C23" i="13"/>
  <c r="C5" i="13"/>
  <c r="D1" i="13"/>
  <c r="B1" i="12"/>
  <c r="C1" i="11"/>
  <c r="D2" i="10"/>
  <c r="C1" i="29"/>
  <c r="E49" i="29"/>
  <c r="D49" i="29"/>
  <c r="E47" i="29"/>
  <c r="E46" i="29"/>
  <c r="E44" i="29"/>
  <c r="E43" i="29"/>
  <c r="E42" i="29"/>
  <c r="E41" i="29"/>
  <c r="E40" i="29"/>
  <c r="E39" i="29"/>
  <c r="E36" i="29"/>
  <c r="D36" i="29"/>
  <c r="E35" i="29"/>
  <c r="E25" i="29"/>
  <c r="E22" i="29"/>
  <c r="E21" i="29"/>
  <c r="E20" i="29"/>
  <c r="D20" i="29"/>
  <c r="E12" i="29"/>
  <c r="E13" i="29"/>
  <c r="E14" i="29"/>
  <c r="D17" i="29"/>
  <c r="E17" i="29"/>
  <c r="E11" i="29"/>
  <c r="AB50" i="29"/>
  <c r="AB52" i="29"/>
  <c r="AB54" i="29"/>
  <c r="AB37" i="29"/>
  <c r="AB26" i="29"/>
  <c r="AB18" i="29"/>
  <c r="Z50" i="29"/>
  <c r="Z52" i="29"/>
  <c r="Z54" i="29"/>
  <c r="Z37" i="29"/>
  <c r="Z26" i="29"/>
  <c r="Z18" i="29"/>
  <c r="X50" i="29"/>
  <c r="X52" i="29"/>
  <c r="X54" i="29"/>
  <c r="X37" i="29"/>
  <c r="X26" i="29"/>
  <c r="X18" i="29"/>
  <c r="V50" i="29"/>
  <c r="V37" i="29"/>
  <c r="V26" i="29"/>
  <c r="V18" i="29"/>
  <c r="R50" i="29"/>
  <c r="R52" i="29"/>
  <c r="R54" i="29"/>
  <c r="R37" i="29"/>
  <c r="R26" i="29"/>
  <c r="R18" i="29"/>
  <c r="P50" i="29"/>
  <c r="P52" i="29"/>
  <c r="P54" i="29"/>
  <c r="P37" i="29"/>
  <c r="P26" i="29"/>
  <c r="P18" i="29"/>
  <c r="N50" i="29"/>
  <c r="N52" i="29"/>
  <c r="N54" i="29"/>
  <c r="N37" i="29"/>
  <c r="N26" i="29"/>
  <c r="N18" i="29"/>
  <c r="L50" i="29"/>
  <c r="L52" i="29"/>
  <c r="L54" i="29"/>
  <c r="L26" i="29"/>
  <c r="L18" i="29"/>
  <c r="E47" i="34"/>
  <c r="E46" i="34"/>
  <c r="D46" i="34"/>
  <c r="E44" i="34"/>
  <c r="D44" i="34"/>
  <c r="E43" i="34"/>
  <c r="E42" i="34"/>
  <c r="E41" i="34"/>
  <c r="D41" i="34"/>
  <c r="E40" i="34"/>
  <c r="D40" i="34"/>
  <c r="E39" i="34"/>
  <c r="D39" i="34"/>
  <c r="E38" i="34"/>
  <c r="D38" i="34"/>
  <c r="E34" i="34"/>
  <c r="D34" i="34"/>
  <c r="E28" i="34"/>
  <c r="D28" i="34"/>
  <c r="E25" i="34"/>
  <c r="D25" i="34"/>
  <c r="E21" i="34"/>
  <c r="D21" i="34"/>
  <c r="E20" i="34"/>
  <c r="D20" i="34"/>
  <c r="D13" i="34"/>
  <c r="E13" i="34"/>
  <c r="D14" i="34"/>
  <c r="E14" i="34"/>
  <c r="D15" i="34"/>
  <c r="E15" i="34"/>
  <c r="D16" i="34"/>
  <c r="E16" i="34"/>
  <c r="E12" i="34"/>
  <c r="D12" i="34"/>
  <c r="T8" i="34"/>
  <c r="R8" i="34"/>
  <c r="P8" i="34"/>
  <c r="N8" i="34"/>
  <c r="L8" i="34"/>
  <c r="J8" i="34"/>
  <c r="H8" i="34"/>
  <c r="F8" i="34"/>
  <c r="T36" i="34"/>
  <c r="T26" i="34"/>
  <c r="T17" i="34"/>
  <c r="R26" i="34"/>
  <c r="R17" i="34"/>
  <c r="P36" i="34"/>
  <c r="P26" i="34"/>
  <c r="P17" i="34"/>
  <c r="N36" i="34"/>
  <c r="N26" i="34"/>
  <c r="N17" i="34"/>
  <c r="L36" i="34"/>
  <c r="L26" i="34"/>
  <c r="L17" i="34"/>
  <c r="L50" i="34"/>
  <c r="L52" i="34"/>
  <c r="L58" i="34"/>
  <c r="J36" i="34"/>
  <c r="J26" i="34"/>
  <c r="J17" i="34"/>
  <c r="H36" i="34"/>
  <c r="H17" i="34"/>
  <c r="F36" i="34"/>
  <c r="F26" i="34"/>
  <c r="F17" i="34"/>
  <c r="F50" i="34"/>
  <c r="F52" i="34"/>
  <c r="F58" i="34"/>
  <c r="D1" i="34"/>
  <c r="C15" i="27"/>
  <c r="C35" i="27"/>
  <c r="D15" i="27"/>
  <c r="D35" i="27"/>
  <c r="C16" i="27"/>
  <c r="D16" i="27"/>
  <c r="C17" i="27"/>
  <c r="D17" i="27"/>
  <c r="C18" i="27"/>
  <c r="D18" i="27"/>
  <c r="C19" i="27"/>
  <c r="D19" i="27"/>
  <c r="C22" i="27"/>
  <c r="C37" i="27"/>
  <c r="D22" i="27"/>
  <c r="D37" i="27"/>
  <c r="C24" i="27"/>
  <c r="D24" i="27"/>
  <c r="C25" i="27"/>
  <c r="C33" i="27"/>
  <c r="C39" i="27"/>
  <c r="D25" i="27"/>
  <c r="C26" i="27"/>
  <c r="D26" i="27"/>
  <c r="C27" i="27"/>
  <c r="D27" i="27"/>
  <c r="C28" i="27"/>
  <c r="D28" i="27"/>
  <c r="C30" i="27"/>
  <c r="D30" i="27"/>
  <c r="D14" i="27"/>
  <c r="B1" i="27"/>
  <c r="AA37" i="27"/>
  <c r="AA31" i="27"/>
  <c r="Y37" i="27"/>
  <c r="Y31" i="27"/>
  <c r="W37" i="27"/>
  <c r="W31" i="27"/>
  <c r="U37" i="27"/>
  <c r="S37" i="27"/>
  <c r="Q37" i="27"/>
  <c r="O37" i="27"/>
  <c r="M37" i="27"/>
  <c r="K37" i="27"/>
  <c r="I37" i="27"/>
  <c r="G37" i="27"/>
  <c r="E37" i="27"/>
  <c r="G1" i="33"/>
  <c r="E15" i="33"/>
  <c r="D17" i="33"/>
  <c r="E17" i="33"/>
  <c r="D21" i="33"/>
  <c r="D37" i="33"/>
  <c r="E21" i="33"/>
  <c r="E37" i="33"/>
  <c r="D22" i="33"/>
  <c r="E22" i="33"/>
  <c r="D23" i="33"/>
  <c r="E23" i="33"/>
  <c r="E33" i="33"/>
  <c r="D24" i="33"/>
  <c r="E24" i="33"/>
  <c r="D25" i="33"/>
  <c r="E25" i="33"/>
  <c r="D26" i="33"/>
  <c r="E26" i="33"/>
  <c r="D28" i="33"/>
  <c r="E28" i="33"/>
  <c r="D29" i="33"/>
  <c r="E29" i="33"/>
  <c r="E14" i="33"/>
  <c r="V9" i="33"/>
  <c r="T9" i="33"/>
  <c r="R9" i="33"/>
  <c r="P9" i="33"/>
  <c r="N9" i="33"/>
  <c r="L9" i="33"/>
  <c r="J9" i="33"/>
  <c r="H9" i="33"/>
  <c r="F9" i="33"/>
  <c r="J1" i="9"/>
  <c r="C11" i="9"/>
  <c r="C12" i="9"/>
  <c r="D12" i="9"/>
  <c r="D13" i="9"/>
  <c r="D14" i="9"/>
  <c r="C15" i="9"/>
  <c r="D15" i="9"/>
  <c r="D17" i="9"/>
  <c r="C21" i="9"/>
  <c r="D21" i="9"/>
  <c r="D22" i="9"/>
  <c r="C23" i="9"/>
  <c r="D23" i="9"/>
  <c r="D25" i="9"/>
  <c r="D26" i="9"/>
  <c r="C27" i="9"/>
  <c r="D27" i="9"/>
  <c r="C29" i="9"/>
  <c r="D29" i="9"/>
  <c r="C30" i="9"/>
  <c r="D30" i="9"/>
  <c r="C31" i="9"/>
  <c r="D31" i="9"/>
  <c r="D32" i="9"/>
  <c r="C33" i="9"/>
  <c r="D33" i="9"/>
  <c r="D34" i="9"/>
  <c r="D35" i="9"/>
  <c r="C36" i="9"/>
  <c r="D36" i="9"/>
  <c r="D37" i="9"/>
  <c r="C38" i="9"/>
  <c r="D38" i="9"/>
  <c r="D39" i="9"/>
  <c r="D43" i="9"/>
  <c r="D44" i="9"/>
  <c r="AC75" i="9"/>
  <c r="AC77" i="9"/>
  <c r="AC82" i="9"/>
  <c r="Y75" i="9"/>
  <c r="U75" i="9"/>
  <c r="U77" i="9"/>
  <c r="U82" i="9"/>
  <c r="M75" i="9"/>
  <c r="M77" i="9"/>
  <c r="M82" i="9"/>
  <c r="D1" i="32"/>
  <c r="U7" i="32"/>
  <c r="S7" i="32"/>
  <c r="Q7" i="32"/>
  <c r="O7" i="32"/>
  <c r="K7" i="32"/>
  <c r="I7" i="32"/>
  <c r="G7" i="32"/>
  <c r="E7" i="32"/>
  <c r="B1" i="7"/>
  <c r="B2" i="6"/>
  <c r="B2" i="5"/>
  <c r="C1" i="4"/>
  <c r="P40" i="28"/>
  <c r="N40" i="28"/>
  <c r="L40" i="28"/>
  <c r="J40" i="28"/>
  <c r="H40" i="28"/>
  <c r="C1" i="28"/>
  <c r="O53" i="3"/>
  <c r="M53" i="3"/>
  <c r="K53" i="3"/>
  <c r="I53" i="3"/>
  <c r="E19" i="26"/>
  <c r="G53" i="3"/>
  <c r="B1" i="3"/>
  <c r="B1" i="2"/>
  <c r="E20" i="2"/>
  <c r="B29" i="26"/>
  <c r="B32" i="26"/>
  <c r="E33" i="18"/>
  <c r="B15" i="26"/>
  <c r="B22" i="26"/>
  <c r="E9" i="19"/>
  <c r="B1" i="26"/>
  <c r="B39" i="1"/>
  <c r="B42" i="1"/>
  <c r="B33" i="18"/>
  <c r="B26" i="1"/>
  <c r="B11" i="18"/>
  <c r="B10" i="18"/>
  <c r="B15" i="1"/>
  <c r="B9" i="19"/>
  <c r="F37" i="27"/>
  <c r="H37" i="27"/>
  <c r="J37" i="27"/>
  <c r="L37" i="27"/>
  <c r="N37" i="27"/>
  <c r="P37" i="27"/>
  <c r="R37" i="27"/>
  <c r="T37" i="27"/>
  <c r="V37" i="27"/>
  <c r="X37" i="27"/>
  <c r="Z37" i="27"/>
  <c r="AB37" i="27"/>
  <c r="U36" i="34"/>
  <c r="U56" i="34"/>
  <c r="Q36" i="34"/>
  <c r="O36" i="34"/>
  <c r="M36" i="34"/>
  <c r="K36" i="34"/>
  <c r="I36" i="34"/>
  <c r="G36" i="34"/>
  <c r="U26" i="34"/>
  <c r="S26" i="34"/>
  <c r="Q26" i="34"/>
  <c r="O26" i="34"/>
  <c r="M26" i="34"/>
  <c r="K26" i="34"/>
  <c r="I26" i="34"/>
  <c r="G26" i="34"/>
  <c r="U17" i="34"/>
  <c r="U50" i="34"/>
  <c r="S17" i="34"/>
  <c r="Q17" i="34"/>
  <c r="Q50" i="34"/>
  <c r="Q52" i="34"/>
  <c r="Q58" i="34"/>
  <c r="O17" i="34"/>
  <c r="M17" i="34"/>
  <c r="M50" i="34"/>
  <c r="M52" i="34"/>
  <c r="M58" i="34"/>
  <c r="K17" i="34"/>
  <c r="K50" i="34"/>
  <c r="K52" i="34"/>
  <c r="K58" i="34"/>
  <c r="I17" i="34"/>
  <c r="G17" i="34"/>
  <c r="G50" i="34"/>
  <c r="G52" i="34"/>
  <c r="G58" i="34"/>
  <c r="D30" i="18"/>
  <c r="D33" i="18"/>
  <c r="D32" i="18"/>
  <c r="D31" i="18"/>
  <c r="E28" i="20"/>
  <c r="E31" i="20"/>
  <c r="C20" i="5"/>
  <c r="F20" i="2"/>
  <c r="F25" i="15"/>
  <c r="E25" i="15"/>
  <c r="D25" i="15"/>
  <c r="C25" i="15"/>
  <c r="B25" i="15"/>
  <c r="G24" i="15"/>
  <c r="G23" i="15"/>
  <c r="G25" i="15"/>
  <c r="F21" i="15"/>
  <c r="E21" i="15"/>
  <c r="D21" i="15"/>
  <c r="C21" i="15"/>
  <c r="B21" i="15"/>
  <c r="G20" i="15"/>
  <c r="G19" i="15"/>
  <c r="G18" i="15"/>
  <c r="G16" i="15"/>
  <c r="G15" i="15"/>
  <c r="F22" i="11"/>
  <c r="F17" i="11"/>
  <c r="F18" i="11"/>
  <c r="D80" i="13"/>
  <c r="J58" i="13"/>
  <c r="D52" i="13"/>
  <c r="I62" i="13"/>
  <c r="AC54" i="29"/>
  <c r="E26" i="1"/>
  <c r="D53" i="13"/>
  <c r="E29" i="26"/>
  <c r="E32" i="26"/>
  <c r="F149" i="13"/>
  <c r="F142" i="13"/>
  <c r="F138" i="13"/>
  <c r="F134" i="13"/>
  <c r="F124" i="13"/>
  <c r="F87" i="13"/>
  <c r="F75" i="13"/>
  <c r="F78" i="13"/>
  <c r="E28" i="1"/>
  <c r="F70" i="13"/>
  <c r="F62" i="13"/>
  <c r="F58" i="13"/>
  <c r="F47" i="13"/>
  <c r="F41" i="13"/>
  <c r="F38" i="13"/>
  <c r="F35" i="13"/>
  <c r="F31" i="13"/>
  <c r="E20" i="1"/>
  <c r="E21" i="1"/>
  <c r="F28" i="13"/>
  <c r="F23" i="13"/>
  <c r="E14" i="1"/>
  <c r="E15" i="1"/>
  <c r="F13" i="13"/>
  <c r="Q40" i="28"/>
  <c r="H20" i="26"/>
  <c r="O40" i="28"/>
  <c r="G20" i="26"/>
  <c r="M40" i="28"/>
  <c r="F20" i="26"/>
  <c r="K40" i="28"/>
  <c r="E20" i="26"/>
  <c r="I40" i="28"/>
  <c r="D20" i="26"/>
  <c r="P53" i="3"/>
  <c r="H19" i="26"/>
  <c r="L53" i="3"/>
  <c r="F19" i="26"/>
  <c r="J53" i="3"/>
  <c r="H53" i="3"/>
  <c r="D19" i="26"/>
  <c r="AC50" i="29"/>
  <c r="AA50" i="29"/>
  <c r="Y50" i="29"/>
  <c r="W50" i="29"/>
  <c r="U50" i="29"/>
  <c r="S50" i="29"/>
  <c r="Q50" i="29"/>
  <c r="O50" i="29"/>
  <c r="O52" i="29"/>
  <c r="O54" i="29"/>
  <c r="M50" i="29"/>
  <c r="E134" i="13"/>
  <c r="E138" i="13"/>
  <c r="E142" i="13"/>
  <c r="E149" i="13"/>
  <c r="G149" i="13"/>
  <c r="H149" i="13"/>
  <c r="I149" i="13"/>
  <c r="O29" i="23"/>
  <c r="A31" i="23"/>
  <c r="A26" i="23"/>
  <c r="A28" i="23"/>
  <c r="A24" i="23"/>
  <c r="A23" i="23"/>
  <c r="A22" i="23"/>
  <c r="A21" i="23"/>
  <c r="D32" i="13"/>
  <c r="E35" i="13"/>
  <c r="G35" i="13"/>
  <c r="H35" i="13"/>
  <c r="I35" i="13"/>
  <c r="J35" i="13"/>
  <c r="I23" i="1"/>
  <c r="E38" i="13"/>
  <c r="E42" i="13"/>
  <c r="G38" i="13"/>
  <c r="H38" i="13"/>
  <c r="I38" i="13"/>
  <c r="J38" i="13"/>
  <c r="E47" i="13"/>
  <c r="D25" i="1"/>
  <c r="G47" i="13"/>
  <c r="H47" i="13"/>
  <c r="D47" i="13"/>
  <c r="I47" i="13"/>
  <c r="J47" i="13"/>
  <c r="I25" i="1"/>
  <c r="E55" i="13"/>
  <c r="G55" i="13"/>
  <c r="H55" i="13"/>
  <c r="D59" i="13"/>
  <c r="C15" i="11"/>
  <c r="E75" i="13"/>
  <c r="E78" i="13"/>
  <c r="D28" i="1"/>
  <c r="G75" i="13"/>
  <c r="G78" i="13"/>
  <c r="F28" i="1"/>
  <c r="H75" i="13"/>
  <c r="H78" i="13"/>
  <c r="G28" i="1"/>
  <c r="I75" i="13"/>
  <c r="I78" i="13"/>
  <c r="J75" i="13"/>
  <c r="J78" i="13"/>
  <c r="I28" i="1"/>
  <c r="C46" i="21"/>
  <c r="D34" i="13"/>
  <c r="C12" i="20"/>
  <c r="C37" i="21"/>
  <c r="E31" i="13"/>
  <c r="D20" i="1"/>
  <c r="D21" i="1"/>
  <c r="G31" i="13"/>
  <c r="F20" i="1"/>
  <c r="F21" i="1"/>
  <c r="H31" i="13"/>
  <c r="G20" i="1"/>
  <c r="G21" i="1"/>
  <c r="I31" i="13"/>
  <c r="J28" i="13"/>
  <c r="I16" i="1"/>
  <c r="E87" i="13"/>
  <c r="G87" i="13"/>
  <c r="G94" i="13"/>
  <c r="F30" i="1"/>
  <c r="H87" i="13"/>
  <c r="I87" i="13"/>
  <c r="I94" i="13"/>
  <c r="H30" i="1"/>
  <c r="J87" i="13"/>
  <c r="J94" i="13"/>
  <c r="I30" i="1"/>
  <c r="E82" i="13"/>
  <c r="E83" i="13"/>
  <c r="D29" i="1"/>
  <c r="H82" i="13"/>
  <c r="I82" i="13"/>
  <c r="I83" i="13"/>
  <c r="H29" i="1"/>
  <c r="J82" i="13"/>
  <c r="J83" i="13"/>
  <c r="I29" i="1"/>
  <c r="E62" i="13"/>
  <c r="E70" i="13"/>
  <c r="G58" i="13"/>
  <c r="G62" i="13"/>
  <c r="G70" i="13"/>
  <c r="H58" i="13"/>
  <c r="H62" i="13"/>
  <c r="H70" i="13"/>
  <c r="I58" i="13"/>
  <c r="I70" i="13"/>
  <c r="J70" i="13"/>
  <c r="I22" i="1"/>
  <c r="C22" i="1"/>
  <c r="J41" i="13"/>
  <c r="E23" i="13"/>
  <c r="D14" i="1"/>
  <c r="D15" i="1"/>
  <c r="G23" i="13"/>
  <c r="H23" i="13"/>
  <c r="G14" i="1"/>
  <c r="G15" i="1"/>
  <c r="I23" i="13"/>
  <c r="H14" i="1"/>
  <c r="H15" i="1"/>
  <c r="E13" i="13"/>
  <c r="G13" i="13"/>
  <c r="H13" i="13"/>
  <c r="I13" i="13"/>
  <c r="C12" i="1"/>
  <c r="E33" i="21"/>
  <c r="E53" i="21"/>
  <c r="E51" i="21"/>
  <c r="E18" i="21"/>
  <c r="E52" i="21"/>
  <c r="E42" i="21"/>
  <c r="A21" i="5"/>
  <c r="A20" i="5"/>
  <c r="C17" i="5"/>
  <c r="D30" i="20"/>
  <c r="D31" i="20"/>
  <c r="D32" i="20"/>
  <c r="D29" i="20"/>
  <c r="D28" i="20"/>
  <c r="D22" i="20"/>
  <c r="D23" i="20"/>
  <c r="D24" i="20"/>
  <c r="D25" i="20"/>
  <c r="B47" i="21"/>
  <c r="B39" i="21"/>
  <c r="D26" i="20"/>
  <c r="D27" i="20"/>
  <c r="D21" i="20"/>
  <c r="B46" i="21"/>
  <c r="D20" i="20"/>
  <c r="D10" i="20"/>
  <c r="B44" i="21"/>
  <c r="D11" i="20"/>
  <c r="B45" i="21"/>
  <c r="D9" i="20"/>
  <c r="B43" i="21"/>
  <c r="D29" i="19"/>
  <c r="D30" i="19"/>
  <c r="D31" i="19"/>
  <c r="D32" i="19"/>
  <c r="D28" i="19"/>
  <c r="D22" i="19"/>
  <c r="D23" i="19"/>
  <c r="D24" i="19"/>
  <c r="D25" i="19"/>
  <c r="B30" i="21"/>
  <c r="D26" i="19"/>
  <c r="D21" i="19"/>
  <c r="B28" i="21"/>
  <c r="D20" i="19"/>
  <c r="B27" i="21"/>
  <c r="D16" i="19"/>
  <c r="B26" i="21"/>
  <c r="D11" i="19"/>
  <c r="B21" i="21"/>
  <c r="D12" i="19"/>
  <c r="B22" i="21"/>
  <c r="D13" i="19"/>
  <c r="B23" i="21"/>
  <c r="D14" i="19"/>
  <c r="B24" i="21"/>
  <c r="D15" i="19"/>
  <c r="B25" i="21"/>
  <c r="D10" i="19"/>
  <c r="B20" i="21"/>
  <c r="D9" i="19"/>
  <c r="B19" i="21"/>
  <c r="A12" i="20"/>
  <c r="B37" i="21"/>
  <c r="I39" i="1"/>
  <c r="I42" i="1"/>
  <c r="M37" i="29"/>
  <c r="O37" i="29"/>
  <c r="Q37" i="29"/>
  <c r="S37" i="29"/>
  <c r="S52" i="29"/>
  <c r="S54" i="29"/>
  <c r="U37" i="29"/>
  <c r="U52" i="29"/>
  <c r="W37" i="29"/>
  <c r="W52" i="29"/>
  <c r="W54" i="29"/>
  <c r="Y37" i="29"/>
  <c r="AA37" i="29"/>
  <c r="AC37" i="29"/>
  <c r="AC58" i="29"/>
  <c r="M26" i="29"/>
  <c r="O26" i="29"/>
  <c r="Q26" i="29"/>
  <c r="S26" i="29"/>
  <c r="U26" i="29"/>
  <c r="W26" i="29"/>
  <c r="Y26" i="29"/>
  <c r="AA26" i="29"/>
  <c r="AA52" i="29"/>
  <c r="AA54" i="29"/>
  <c r="AC26" i="29"/>
  <c r="M18" i="29"/>
  <c r="O18" i="29"/>
  <c r="Q18" i="29"/>
  <c r="Q52" i="29"/>
  <c r="Q54" i="29"/>
  <c r="S18" i="29"/>
  <c r="U18" i="29"/>
  <c r="W18" i="29"/>
  <c r="Y18" i="29"/>
  <c r="Y52" i="29"/>
  <c r="Y54" i="29"/>
  <c r="AA18" i="29"/>
  <c r="AC18" i="29"/>
  <c r="X31" i="27"/>
  <c r="Z31" i="27"/>
  <c r="AB31" i="27"/>
  <c r="D31" i="27"/>
  <c r="AD75" i="9"/>
  <c r="AD77" i="9"/>
  <c r="AD82" i="9"/>
  <c r="Z75" i="9"/>
  <c r="T75" i="9"/>
  <c r="T77" i="9"/>
  <c r="T82" i="9"/>
  <c r="R75" i="9"/>
  <c r="R77" i="9"/>
  <c r="R82" i="9"/>
  <c r="N75" i="9"/>
  <c r="N77" i="9"/>
  <c r="N82" i="9"/>
  <c r="J75" i="9"/>
  <c r="D100" i="13"/>
  <c r="D101" i="13"/>
  <c r="D102" i="13"/>
  <c r="D103" i="13"/>
  <c r="D110" i="13"/>
  <c r="D113" i="13"/>
  <c r="D115" i="13"/>
  <c r="D116" i="13"/>
  <c r="D118" i="13"/>
  <c r="E124" i="13"/>
  <c r="G124" i="13"/>
  <c r="H124" i="13"/>
  <c r="I124" i="13"/>
  <c r="D127" i="13"/>
  <c r="D128" i="13"/>
  <c r="D129" i="13"/>
  <c r="D130" i="13"/>
  <c r="D133" i="13"/>
  <c r="G134" i="13"/>
  <c r="G138" i="13"/>
  <c r="G142" i="13"/>
  <c r="H134" i="13"/>
  <c r="I134" i="13"/>
  <c r="J134" i="13"/>
  <c r="J138" i="13"/>
  <c r="J142" i="13"/>
  <c r="D135" i="13"/>
  <c r="D136" i="13"/>
  <c r="D137" i="13"/>
  <c r="H138" i="13"/>
  <c r="I138" i="13"/>
  <c r="D139" i="13"/>
  <c r="D140" i="13"/>
  <c r="D141" i="13"/>
  <c r="H142" i="13"/>
  <c r="I142" i="13"/>
  <c r="D17" i="13"/>
  <c r="D22" i="13"/>
  <c r="D24" i="13"/>
  <c r="D25" i="13"/>
  <c r="D26" i="13"/>
  <c r="D27" i="13"/>
  <c r="E28" i="13"/>
  <c r="G28" i="13"/>
  <c r="H28" i="13"/>
  <c r="I28" i="13"/>
  <c r="D33" i="13"/>
  <c r="D36" i="13"/>
  <c r="D37" i="13"/>
  <c r="D40" i="13"/>
  <c r="E41" i="13"/>
  <c r="G41" i="13"/>
  <c r="H41" i="13"/>
  <c r="I41" i="13"/>
  <c r="D43" i="13"/>
  <c r="D45" i="13"/>
  <c r="D46" i="13"/>
  <c r="D48" i="13"/>
  <c r="D49" i="13"/>
  <c r="D54" i="13"/>
  <c r="D56" i="13"/>
  <c r="D57" i="13"/>
  <c r="D61" i="13"/>
  <c r="D64" i="13"/>
  <c r="D66" i="13"/>
  <c r="D67" i="13"/>
  <c r="D68" i="13"/>
  <c r="D69" i="13"/>
  <c r="D72" i="13"/>
  <c r="D73" i="13"/>
  <c r="D74" i="13"/>
  <c r="D76" i="13"/>
  <c r="D77" i="13"/>
  <c r="D79" i="13"/>
  <c r="D84" i="13"/>
  <c r="D86" i="13"/>
  <c r="C86" i="13"/>
  <c r="C31" i="26"/>
  <c r="F32" i="18"/>
  <c r="E53" i="31"/>
  <c r="D29" i="26"/>
  <c r="D32" i="26"/>
  <c r="F29" i="26"/>
  <c r="F32" i="26"/>
  <c r="G29" i="26"/>
  <c r="G32" i="26"/>
  <c r="H29" i="26"/>
  <c r="H32" i="26"/>
  <c r="C30" i="26"/>
  <c r="F29" i="19"/>
  <c r="C23" i="26"/>
  <c r="F23" i="18"/>
  <c r="C24" i="26"/>
  <c r="F22" i="19"/>
  <c r="C25" i="26"/>
  <c r="F23" i="19"/>
  <c r="C26" i="26"/>
  <c r="F24" i="19"/>
  <c r="C28" i="26"/>
  <c r="C40" i="1"/>
  <c r="C29" i="20"/>
  <c r="C41" i="1"/>
  <c r="C30" i="19"/>
  <c r="C33" i="1"/>
  <c r="C22" i="19"/>
  <c r="C34" i="1"/>
  <c r="O16" i="23"/>
  <c r="C35" i="1"/>
  <c r="C24" i="19"/>
  <c r="C36" i="1"/>
  <c r="C25" i="19"/>
  <c r="C38" i="1"/>
  <c r="C29" i="18"/>
  <c r="C32" i="1"/>
  <c r="C21" i="19"/>
  <c r="D34" i="18"/>
  <c r="D24" i="18"/>
  <c r="D25" i="18"/>
  <c r="D26" i="18"/>
  <c r="D27" i="18"/>
  <c r="D28" i="18"/>
  <c r="D23" i="18"/>
  <c r="D22" i="18"/>
  <c r="D20" i="18"/>
  <c r="D19" i="18"/>
  <c r="D18" i="18"/>
  <c r="D17" i="18"/>
  <c r="D16" i="18"/>
  <c r="D11" i="18"/>
  <c r="D12" i="18"/>
  <c r="D13" i="18"/>
  <c r="D14" i="18"/>
  <c r="D15" i="18"/>
  <c r="D10" i="18"/>
  <c r="D9" i="18"/>
  <c r="F26" i="1"/>
  <c r="G26" i="1"/>
  <c r="H26" i="1"/>
  <c r="C17" i="1"/>
  <c r="C18" i="1"/>
  <c r="C19" i="1"/>
  <c r="C11" i="1"/>
  <c r="C13" i="1"/>
  <c r="C13" i="7"/>
  <c r="C17" i="7"/>
  <c r="C21" i="7"/>
  <c r="C26" i="7"/>
  <c r="C36" i="7"/>
  <c r="B23" i="13"/>
  <c r="A11" i="20"/>
  <c r="B36" i="21"/>
  <c r="A23" i="20"/>
  <c r="B38" i="21"/>
  <c r="A21" i="20"/>
  <c r="A10" i="20"/>
  <c r="B35" i="21"/>
  <c r="A9" i="20"/>
  <c r="B34" i="21"/>
  <c r="A26" i="19"/>
  <c r="B15" i="21"/>
  <c r="A23" i="19"/>
  <c r="B14" i="21"/>
  <c r="A11" i="19"/>
  <c r="B11" i="21"/>
  <c r="A12" i="19"/>
  <c r="B12" i="21"/>
  <c r="A13" i="19"/>
  <c r="B13" i="21"/>
  <c r="A9" i="19"/>
  <c r="B10" i="21"/>
  <c r="A17" i="23"/>
  <c r="A16" i="23"/>
  <c r="A10" i="23"/>
  <c r="A11" i="23"/>
  <c r="A12" i="23"/>
  <c r="A13" i="23"/>
  <c r="A9" i="23"/>
  <c r="A8" i="23"/>
  <c r="A7" i="23"/>
  <c r="D17" i="6"/>
  <c r="A31" i="20"/>
  <c r="A30" i="20"/>
  <c r="A29" i="20"/>
  <c r="A28" i="20"/>
  <c r="A27" i="20"/>
  <c r="A26" i="20"/>
  <c r="A25" i="20"/>
  <c r="A24" i="20"/>
  <c r="A22" i="20"/>
  <c r="A20" i="20"/>
  <c r="A31" i="19"/>
  <c r="A30" i="19"/>
  <c r="A29" i="19"/>
  <c r="A28" i="19"/>
  <c r="A27" i="19"/>
  <c r="A25" i="19"/>
  <c r="A24" i="19"/>
  <c r="A22" i="19"/>
  <c r="A21" i="19"/>
  <c r="A20" i="19"/>
  <c r="A33" i="18"/>
  <c r="A31" i="18"/>
  <c r="A32" i="18"/>
  <c r="A30" i="18"/>
  <c r="A29" i="18"/>
  <c r="A28" i="18"/>
  <c r="A23" i="18"/>
  <c r="A24" i="18"/>
  <c r="A25" i="18"/>
  <c r="A26" i="18"/>
  <c r="A27" i="18"/>
  <c r="A22" i="18"/>
  <c r="A12" i="18"/>
  <c r="A13" i="18"/>
  <c r="A14" i="18"/>
  <c r="A15" i="18"/>
  <c r="A11" i="18"/>
  <c r="A10" i="18"/>
  <c r="A9" i="18"/>
  <c r="B114" i="13"/>
  <c r="B124" i="13"/>
  <c r="B149" i="13"/>
  <c r="D5" i="13"/>
  <c r="B138" i="13"/>
  <c r="B142" i="13"/>
  <c r="B143" i="13"/>
  <c r="B87" i="13"/>
  <c r="B93" i="13"/>
  <c r="B94" i="13"/>
  <c r="B38" i="13"/>
  <c r="B41" i="13"/>
  <c r="B35" i="13"/>
  <c r="B31" i="13"/>
  <c r="B28" i="13"/>
  <c r="B13" i="13"/>
  <c r="B82" i="13"/>
  <c r="B83" i="13"/>
  <c r="B75" i="13"/>
  <c r="B78" i="13"/>
  <c r="B55" i="13"/>
  <c r="B58" i="13"/>
  <c r="B62" i="13"/>
  <c r="J5" i="13"/>
  <c r="H5" i="13"/>
  <c r="G5" i="13"/>
  <c r="E5" i="13"/>
  <c r="F18" i="21"/>
  <c r="F33" i="21"/>
  <c r="F51" i="21"/>
  <c r="F42" i="21"/>
  <c r="D18" i="21"/>
  <c r="D42" i="21"/>
  <c r="D33" i="21"/>
  <c r="D51" i="21"/>
  <c r="B47" i="13"/>
  <c r="B19" i="23"/>
  <c r="B32" i="23"/>
  <c r="F32" i="23"/>
  <c r="C32" i="23"/>
  <c r="D32" i="23"/>
  <c r="D33" i="23"/>
  <c r="E32" i="23"/>
  <c r="G32" i="23"/>
  <c r="H32" i="23"/>
  <c r="I32" i="23"/>
  <c r="J32" i="23"/>
  <c r="J33" i="23"/>
  <c r="K32" i="23"/>
  <c r="L32" i="23"/>
  <c r="C19" i="23"/>
  <c r="C33" i="23"/>
  <c r="D19" i="23"/>
  <c r="E19" i="23"/>
  <c r="F19" i="23"/>
  <c r="F33" i="23"/>
  <c r="G19" i="23"/>
  <c r="G33" i="23"/>
  <c r="H19" i="23"/>
  <c r="I19" i="23"/>
  <c r="J19" i="23"/>
  <c r="K19" i="23"/>
  <c r="K33" i="23"/>
  <c r="L19" i="23"/>
  <c r="M19" i="23"/>
  <c r="D22" i="22"/>
  <c r="C32" i="18"/>
  <c r="E21" i="31"/>
  <c r="C30" i="20"/>
  <c r="C19" i="6"/>
  <c r="C24" i="18"/>
  <c r="C27" i="18"/>
  <c r="F24" i="18"/>
  <c r="B28" i="20"/>
  <c r="B31" i="20"/>
  <c r="E28" i="19"/>
  <c r="E31" i="19"/>
  <c r="E32" i="19"/>
  <c r="O14" i="23"/>
  <c r="C23" i="18"/>
  <c r="O18" i="23"/>
  <c r="P18" i="23"/>
  <c r="F28" i="18"/>
  <c r="P30" i="23"/>
  <c r="C27" i="15"/>
  <c r="E25" i="31"/>
  <c r="E27" i="15"/>
  <c r="F21" i="19"/>
  <c r="F26" i="19"/>
  <c r="C29" i="19"/>
  <c r="B19" i="6"/>
  <c r="F31" i="18"/>
  <c r="E52" i="31"/>
  <c r="F30" i="19"/>
  <c r="B20" i="6"/>
  <c r="D20" i="6"/>
  <c r="C31" i="18"/>
  <c r="E20" i="31"/>
  <c r="F23" i="11"/>
  <c r="F27" i="15"/>
  <c r="C27" i="19"/>
  <c r="B20" i="5"/>
  <c r="D20" i="5"/>
  <c r="G21" i="15"/>
  <c r="D19" i="6"/>
  <c r="B23" i="5"/>
  <c r="D23" i="5"/>
  <c r="S36" i="34"/>
  <c r="S50" i="34"/>
  <c r="S52" i="34"/>
  <c r="S58" i="34"/>
  <c r="H37" i="1"/>
  <c r="H39" i="1"/>
  <c r="H42" i="1"/>
  <c r="D81" i="13"/>
  <c r="J114" i="13"/>
  <c r="D117" i="13"/>
  <c r="D63" i="13"/>
  <c r="D148" i="13"/>
  <c r="D50" i="13"/>
  <c r="D144" i="13"/>
  <c r="H75" i="9"/>
  <c r="H77" i="9"/>
  <c r="H82" i="9"/>
  <c r="D22" i="32"/>
  <c r="P60" i="32"/>
  <c r="P62" i="32"/>
  <c r="D11" i="32"/>
  <c r="D145" i="13"/>
  <c r="D37" i="1"/>
  <c r="D39" i="1"/>
  <c r="J149" i="13"/>
  <c r="I27" i="26"/>
  <c r="C27" i="26"/>
  <c r="F27" i="18"/>
  <c r="F49" i="31"/>
  <c r="D147" i="13"/>
  <c r="J62" i="13"/>
  <c r="C65" i="9"/>
  <c r="K75" i="9"/>
  <c r="K77" i="9"/>
  <c r="K82" i="9"/>
  <c r="C70" i="9"/>
  <c r="C10" i="7"/>
  <c r="C8" i="7"/>
  <c r="E18" i="19"/>
  <c r="D11" i="29"/>
  <c r="D18" i="29"/>
  <c r="C11" i="26"/>
  <c r="F12" i="18"/>
  <c r="F12" i="19"/>
  <c r="C22" i="21"/>
  <c r="C68" i="9"/>
  <c r="AA75" i="9"/>
  <c r="C10" i="26"/>
  <c r="F11" i="19"/>
  <c r="C21" i="21"/>
  <c r="T50" i="29"/>
  <c r="T52" i="29"/>
  <c r="T54" i="29"/>
  <c r="C14" i="26"/>
  <c r="F15" i="18"/>
  <c r="J26" i="29"/>
  <c r="H26" i="29"/>
  <c r="G15" i="26"/>
  <c r="T18" i="29"/>
  <c r="C8" i="26"/>
  <c r="F9" i="18"/>
  <c r="F33" i="31"/>
  <c r="D35" i="29"/>
  <c r="D12" i="29"/>
  <c r="D21" i="29"/>
  <c r="D26" i="29"/>
  <c r="H37" i="29"/>
  <c r="F15" i="26"/>
  <c r="J18" i="29"/>
  <c r="D13" i="29"/>
  <c r="J50" i="29"/>
  <c r="D14" i="29"/>
  <c r="D39" i="29"/>
  <c r="C14" i="27"/>
  <c r="H18" i="29"/>
  <c r="C13" i="9"/>
  <c r="Q75" i="9"/>
  <c r="Q77" i="9"/>
  <c r="Q82" i="9"/>
  <c r="O60" i="32"/>
  <c r="O62" i="32"/>
  <c r="R54" i="34"/>
  <c r="G75" i="9"/>
  <c r="G77" i="9"/>
  <c r="G82" i="9"/>
  <c r="R36" i="34"/>
  <c r="F50" i="29"/>
  <c r="H50" i="29"/>
  <c r="D47" i="34"/>
  <c r="B11" i="19"/>
  <c r="B20" i="19"/>
  <c r="C13" i="26"/>
  <c r="F14" i="18"/>
  <c r="F14" i="19"/>
  <c r="C24" i="21"/>
  <c r="O50" i="34"/>
  <c r="O52" i="34"/>
  <c r="O58" i="34"/>
  <c r="X75" i="9"/>
  <c r="X77" i="9"/>
  <c r="X82" i="9"/>
  <c r="B11" i="20"/>
  <c r="D10" i="9"/>
  <c r="P75" i="9"/>
  <c r="P77" i="9"/>
  <c r="P82" i="9"/>
  <c r="O75" i="9"/>
  <c r="O77" i="9"/>
  <c r="O82" i="9"/>
  <c r="P29" i="23"/>
  <c r="W75" i="9"/>
  <c r="W77" i="9"/>
  <c r="W82" i="9"/>
  <c r="C10" i="9"/>
  <c r="W62" i="32"/>
  <c r="K62" i="32"/>
  <c r="J62" i="32"/>
  <c r="R62" i="32"/>
  <c r="E35" i="33"/>
  <c r="D35" i="33"/>
  <c r="B60" i="35"/>
  <c r="J62" i="35"/>
  <c r="E30" i="18"/>
  <c r="B30" i="18"/>
  <c r="F25" i="18"/>
  <c r="C60" i="32"/>
  <c r="AB77" i="9"/>
  <c r="AB82" i="9"/>
  <c r="Z77" i="9"/>
  <c r="Z82" i="9"/>
  <c r="Y77" i="9"/>
  <c r="Y82" i="9"/>
  <c r="AC52" i="29"/>
  <c r="E26" i="29"/>
  <c r="V52" i="29"/>
  <c r="V54" i="29"/>
  <c r="M52" i="29"/>
  <c r="M54" i="29"/>
  <c r="AB58" i="29"/>
  <c r="I50" i="34"/>
  <c r="I52" i="34"/>
  <c r="I58" i="34"/>
  <c r="J50" i="34"/>
  <c r="J52" i="34"/>
  <c r="J58" i="34"/>
  <c r="D17" i="34"/>
  <c r="D36" i="34"/>
  <c r="N50" i="34"/>
  <c r="N52" i="34"/>
  <c r="N58" i="34"/>
  <c r="E36" i="34"/>
  <c r="U58" i="34"/>
  <c r="E26" i="34"/>
  <c r="E17" i="34"/>
  <c r="D54" i="34"/>
  <c r="R50" i="34"/>
  <c r="R52" i="34"/>
  <c r="R58" i="34"/>
  <c r="P50" i="34"/>
  <c r="P52" i="34"/>
  <c r="P58" i="34"/>
  <c r="T50" i="34"/>
  <c r="T52" i="34"/>
  <c r="T58" i="34"/>
  <c r="D48" i="34"/>
  <c r="E48" i="34"/>
  <c r="E54" i="34"/>
  <c r="D26" i="34"/>
  <c r="H50" i="34"/>
  <c r="H52" i="34"/>
  <c r="H58" i="34"/>
  <c r="C48" i="21"/>
  <c r="F12" i="20"/>
  <c r="C39" i="7"/>
  <c r="E17" i="19"/>
  <c r="D50" i="34"/>
  <c r="D52" i="34"/>
  <c r="D58" i="34"/>
  <c r="F44" i="31"/>
  <c r="D52" i="21"/>
  <c r="F53" i="21"/>
  <c r="D53" i="21"/>
  <c r="F52" i="21"/>
  <c r="E56" i="21"/>
  <c r="E55" i="21"/>
  <c r="E33" i="23"/>
  <c r="M32" i="23"/>
  <c r="C31" i="21"/>
  <c r="B21" i="5"/>
  <c r="D21" i="5"/>
  <c r="F26" i="18"/>
  <c r="F50" i="31"/>
  <c r="D55" i="21"/>
  <c r="F56" i="21"/>
  <c r="D56" i="21"/>
  <c r="F55" i="21"/>
  <c r="D27" i="15"/>
  <c r="B27" i="15"/>
  <c r="G27" i="15"/>
  <c r="B66" i="35"/>
  <c r="J37" i="29"/>
  <c r="J52" i="29"/>
  <c r="K37" i="29"/>
  <c r="K52" i="29"/>
  <c r="F37" i="29"/>
  <c r="F52" i="29"/>
  <c r="F54" i="29"/>
  <c r="D50" i="29"/>
  <c r="I42" i="13"/>
  <c r="C16" i="26"/>
  <c r="B33" i="26"/>
  <c r="E34" i="18"/>
  <c r="E20" i="20"/>
  <c r="E32" i="20"/>
  <c r="E22" i="18"/>
  <c r="E20" i="19"/>
  <c r="B31" i="1"/>
  <c r="B43" i="1"/>
  <c r="B34" i="18"/>
  <c r="B9" i="18"/>
  <c r="B22" i="18"/>
  <c r="F16" i="18"/>
  <c r="F16" i="19"/>
  <c r="P24" i="23"/>
  <c r="O24" i="23"/>
  <c r="B37" i="18"/>
  <c r="F36" i="31"/>
  <c r="C26" i="21"/>
  <c r="O22" i="23"/>
  <c r="P22" i="23"/>
  <c r="F10" i="19"/>
  <c r="C20" i="21"/>
  <c r="C26" i="18"/>
  <c r="H16" i="25"/>
  <c r="J6" i="13"/>
  <c r="H37" i="25"/>
  <c r="E16" i="25"/>
  <c r="E22" i="25"/>
  <c r="E37" i="25"/>
  <c r="H22" i="25"/>
  <c r="J7" i="13"/>
  <c r="D7" i="13"/>
  <c r="E42" i="1"/>
  <c r="J8" i="13"/>
  <c r="D8" i="13"/>
  <c r="AA77" i="9"/>
  <c r="AA82" i="9"/>
  <c r="J77" i="9"/>
  <c r="J82" i="9"/>
  <c r="V77" i="9"/>
  <c r="V82" i="9"/>
  <c r="D79" i="9"/>
  <c r="D75" i="9"/>
  <c r="D60" i="32"/>
  <c r="D62" i="32"/>
  <c r="D69" i="32"/>
  <c r="C62" i="32"/>
  <c r="C69" i="32"/>
  <c r="C70" i="32"/>
  <c r="J54" i="29"/>
  <c r="H52" i="29"/>
  <c r="H54" i="29"/>
  <c r="E50" i="29"/>
  <c r="U54" i="29"/>
  <c r="E18" i="29"/>
  <c r="E50" i="34"/>
  <c r="E52" i="34"/>
  <c r="E58" i="34"/>
  <c r="D33" i="27"/>
  <c r="D39" i="27"/>
  <c r="D31" i="33"/>
  <c r="D39" i="33"/>
  <c r="E31" i="33"/>
  <c r="B32" i="19"/>
  <c r="B34" i="19"/>
  <c r="B32" i="20"/>
  <c r="B34" i="20"/>
  <c r="L33" i="23"/>
  <c r="N32" i="23"/>
  <c r="H33" i="23"/>
  <c r="B33" i="23"/>
  <c r="M33" i="23"/>
  <c r="I33" i="23"/>
  <c r="N19" i="23"/>
  <c r="E46" i="10"/>
  <c r="F15" i="19"/>
  <c r="C25" i="21"/>
  <c r="C20" i="26"/>
  <c r="F19" i="18"/>
  <c r="F11" i="18"/>
  <c r="F18" i="26"/>
  <c r="P16" i="23"/>
  <c r="F13" i="19"/>
  <c r="C23" i="21"/>
  <c r="C15" i="26"/>
  <c r="O23" i="23"/>
  <c r="O21" i="23"/>
  <c r="F9" i="19"/>
  <c r="C19" i="21"/>
  <c r="F35" i="31"/>
  <c r="P21" i="23"/>
  <c r="G126" i="13"/>
  <c r="F22" i="26"/>
  <c r="F33" i="26"/>
  <c r="E94" i="13"/>
  <c r="D30" i="1"/>
  <c r="B42" i="13"/>
  <c r="C25" i="18"/>
  <c r="K54" i="29"/>
  <c r="G37" i="29"/>
  <c r="G52" i="29"/>
  <c r="G54" i="29"/>
  <c r="F18" i="19"/>
  <c r="D39" i="7"/>
  <c r="E28" i="29"/>
  <c r="D28" i="29"/>
  <c r="I37" i="29"/>
  <c r="I52" i="29"/>
  <c r="I54" i="29"/>
  <c r="E40" i="28"/>
  <c r="F10" i="20"/>
  <c r="O27" i="23"/>
  <c r="F53" i="3"/>
  <c r="I19" i="26"/>
  <c r="C19" i="26"/>
  <c r="F9" i="20"/>
  <c r="G22" i="26"/>
  <c r="G33" i="26"/>
  <c r="C39" i="21"/>
  <c r="C53" i="3"/>
  <c r="E143" i="13"/>
  <c r="D21" i="26"/>
  <c r="D149" i="13"/>
  <c r="D62" i="13"/>
  <c r="I126" i="13"/>
  <c r="H17" i="26"/>
  <c r="H71" i="13"/>
  <c r="G27" i="1"/>
  <c r="D16" i="13"/>
  <c r="G18" i="26"/>
  <c r="H126" i="13"/>
  <c r="H94" i="13"/>
  <c r="G30" i="1"/>
  <c r="F143" i="13"/>
  <c r="E126" i="13"/>
  <c r="G143" i="13"/>
  <c r="I143" i="13"/>
  <c r="J42" i="13"/>
  <c r="I24" i="1"/>
  <c r="C24" i="1"/>
  <c r="C39" i="1"/>
  <c r="C30" i="18"/>
  <c r="E19" i="31"/>
  <c r="D42" i="1"/>
  <c r="D41" i="13"/>
  <c r="B126" i="13"/>
  <c r="D35" i="13"/>
  <c r="D134" i="13"/>
  <c r="D28" i="13"/>
  <c r="D38" i="13"/>
  <c r="D70" i="13"/>
  <c r="C37" i="1"/>
  <c r="G42" i="13"/>
  <c r="D58" i="13"/>
  <c r="H18" i="26"/>
  <c r="H22" i="26"/>
  <c r="H33" i="26"/>
  <c r="C23" i="1"/>
  <c r="I26" i="1"/>
  <c r="J143" i="13"/>
  <c r="I21" i="26"/>
  <c r="D142" i="13"/>
  <c r="C16" i="1"/>
  <c r="H28" i="1"/>
  <c r="C28" i="1"/>
  <c r="D78" i="13"/>
  <c r="F30" i="18"/>
  <c r="E48" i="31"/>
  <c r="P17" i="23"/>
  <c r="H42" i="13"/>
  <c r="F42" i="13"/>
  <c r="B71" i="13"/>
  <c r="H83" i="13"/>
  <c r="D82" i="13"/>
  <c r="D87" i="13"/>
  <c r="F94" i="13"/>
  <c r="D93" i="13"/>
  <c r="I29" i="26"/>
  <c r="O31" i="23"/>
  <c r="H20" i="1"/>
  <c r="D31" i="13"/>
  <c r="I20" i="1"/>
  <c r="I21" i="1"/>
  <c r="D26" i="1"/>
  <c r="C25" i="1"/>
  <c r="C28" i="18"/>
  <c r="E27" i="31"/>
  <c r="P31" i="23"/>
  <c r="D6" i="13"/>
  <c r="J13" i="13"/>
  <c r="D13" i="13"/>
  <c r="I9" i="1"/>
  <c r="F14" i="1"/>
  <c r="D23" i="13"/>
  <c r="C10" i="11"/>
  <c r="G71" i="13"/>
  <c r="F27" i="1"/>
  <c r="F126" i="13"/>
  <c r="E17" i="26"/>
  <c r="D114" i="13"/>
  <c r="O17" i="23"/>
  <c r="D75" i="13"/>
  <c r="C16" i="11"/>
  <c r="D138" i="13"/>
  <c r="D55" i="13"/>
  <c r="C14" i="11"/>
  <c r="E71" i="13"/>
  <c r="H143" i="13"/>
  <c r="I71" i="13"/>
  <c r="H27" i="1"/>
  <c r="J71" i="13"/>
  <c r="I27" i="1"/>
  <c r="F71" i="13"/>
  <c r="E27" i="1"/>
  <c r="D124" i="13"/>
  <c r="J126" i="13"/>
  <c r="D77" i="9"/>
  <c r="D82" i="9"/>
  <c r="N33" i="23"/>
  <c r="P23" i="23"/>
  <c r="P27" i="23"/>
  <c r="C42" i="1"/>
  <c r="C33" i="18"/>
  <c r="C15" i="21"/>
  <c r="C23" i="19"/>
  <c r="E26" i="31"/>
  <c r="D53" i="3"/>
  <c r="D59" i="3"/>
  <c r="F38" i="31"/>
  <c r="C29" i="21"/>
  <c r="D37" i="29"/>
  <c r="D52" i="29"/>
  <c r="D56" i="29"/>
  <c r="E56" i="29"/>
  <c r="E37" i="29"/>
  <c r="E52" i="29"/>
  <c r="F42" i="31"/>
  <c r="C44" i="21"/>
  <c r="B18" i="5"/>
  <c r="F18" i="18"/>
  <c r="O26" i="23"/>
  <c r="P26" i="23"/>
  <c r="C28" i="20"/>
  <c r="C31" i="20"/>
  <c r="C18" i="5"/>
  <c r="C15" i="6"/>
  <c r="C47" i="21"/>
  <c r="F28" i="20"/>
  <c r="F31" i="20"/>
  <c r="C22" i="5"/>
  <c r="C16" i="6"/>
  <c r="F41" i="31"/>
  <c r="C43" i="21"/>
  <c r="D42" i="13"/>
  <c r="D143" i="13"/>
  <c r="C9" i="1"/>
  <c r="I15" i="1"/>
  <c r="I31" i="1"/>
  <c r="I43" i="1"/>
  <c r="E22" i="26"/>
  <c r="E33" i="26"/>
  <c r="E18" i="26"/>
  <c r="C29" i="26"/>
  <c r="I32" i="26"/>
  <c r="C32" i="26"/>
  <c r="C13" i="18"/>
  <c r="F13" i="31"/>
  <c r="P11" i="23"/>
  <c r="C9" i="20"/>
  <c r="O11" i="23"/>
  <c r="B15" i="12"/>
  <c r="F15" i="1"/>
  <c r="C14" i="1"/>
  <c r="D27" i="1"/>
  <c r="C27" i="1"/>
  <c r="D71" i="13"/>
  <c r="C17" i="11"/>
  <c r="C18" i="11"/>
  <c r="C23" i="11"/>
  <c r="H21" i="1"/>
  <c r="C20" i="1"/>
  <c r="G29" i="1"/>
  <c r="D83" i="13"/>
  <c r="B22" i="5"/>
  <c r="C30" i="21"/>
  <c r="F28" i="19"/>
  <c r="F31" i="19"/>
  <c r="C26" i="1"/>
  <c r="E30" i="1"/>
  <c r="D94" i="13"/>
  <c r="C21" i="26"/>
  <c r="D22" i="26"/>
  <c r="D33" i="26"/>
  <c r="D126" i="13"/>
  <c r="I17" i="26"/>
  <c r="E54" i="29"/>
  <c r="D18" i="5"/>
  <c r="C14" i="21"/>
  <c r="B17" i="5"/>
  <c r="C28" i="19"/>
  <c r="C31" i="19"/>
  <c r="D54" i="29"/>
  <c r="F11" i="20"/>
  <c r="P28" i="23"/>
  <c r="F20" i="18"/>
  <c r="O28" i="23"/>
  <c r="C34" i="21"/>
  <c r="O10" i="23"/>
  <c r="P10" i="23"/>
  <c r="C12" i="18"/>
  <c r="F12" i="31"/>
  <c r="C12" i="19"/>
  <c r="C12" i="21"/>
  <c r="D15" i="12"/>
  <c r="F33" i="18"/>
  <c r="E46" i="31"/>
  <c r="D31" i="1"/>
  <c r="D43" i="1"/>
  <c r="D45" i="1"/>
  <c r="E17" i="31"/>
  <c r="C30" i="1"/>
  <c r="E31" i="1"/>
  <c r="E43" i="1"/>
  <c r="E45" i="1"/>
  <c r="D22" i="5"/>
  <c r="B16" i="6"/>
  <c r="D16" i="6"/>
  <c r="C21" i="1"/>
  <c r="H31" i="1"/>
  <c r="H43" i="1"/>
  <c r="H45" i="1"/>
  <c r="E17" i="12"/>
  <c r="C29" i="1"/>
  <c r="G31" i="1"/>
  <c r="G43" i="1"/>
  <c r="G45" i="1"/>
  <c r="O9" i="23"/>
  <c r="P9" i="23"/>
  <c r="C11" i="19"/>
  <c r="C11" i="21"/>
  <c r="C11" i="18"/>
  <c r="F11" i="31"/>
  <c r="F31" i="1"/>
  <c r="F43" i="1"/>
  <c r="F45" i="1"/>
  <c r="C15" i="1"/>
  <c r="C17" i="26"/>
  <c r="I18" i="26"/>
  <c r="I22" i="26"/>
  <c r="D17" i="5"/>
  <c r="B15" i="6"/>
  <c r="D15" i="6"/>
  <c r="C11" i="20"/>
  <c r="C36" i="21"/>
  <c r="P8" i="23"/>
  <c r="C10" i="18"/>
  <c r="F10" i="31"/>
  <c r="O8" i="23"/>
  <c r="O13" i="23"/>
  <c r="P13" i="23"/>
  <c r="C15" i="18"/>
  <c r="F15" i="31"/>
  <c r="C10" i="20"/>
  <c r="P12" i="23"/>
  <c r="C13" i="19"/>
  <c r="C13" i="21"/>
  <c r="C14" i="18"/>
  <c r="F14" i="31"/>
  <c r="O12" i="23"/>
  <c r="O7" i="23"/>
  <c r="C31" i="1"/>
  <c r="C9" i="19"/>
  <c r="P7" i="23"/>
  <c r="C9" i="18"/>
  <c r="F43" i="31"/>
  <c r="F20" i="20"/>
  <c r="C45" i="21"/>
  <c r="C51" i="21"/>
  <c r="I33" i="26"/>
  <c r="C22" i="26"/>
  <c r="D11" i="12"/>
  <c r="O25" i="23"/>
  <c r="C18" i="26"/>
  <c r="F17" i="19"/>
  <c r="F17" i="18"/>
  <c r="P25" i="23"/>
  <c r="C20" i="19"/>
  <c r="C10" i="21"/>
  <c r="C18" i="21"/>
  <c r="C35" i="21"/>
  <c r="C42" i="21"/>
  <c r="C20" i="20"/>
  <c r="B11" i="12"/>
  <c r="E13" i="12"/>
  <c r="C43" i="1"/>
  <c r="C22" i="18"/>
  <c r="E3" i="31"/>
  <c r="F9" i="31"/>
  <c r="E39" i="31"/>
  <c r="C14" i="5"/>
  <c r="C13" i="6"/>
  <c r="F32" i="20"/>
  <c r="F22" i="18"/>
  <c r="F37" i="31"/>
  <c r="F20" i="19"/>
  <c r="C27" i="21"/>
  <c r="C33" i="21"/>
  <c r="C53" i="21"/>
  <c r="I45" i="1"/>
  <c r="C33" i="26"/>
  <c r="C34" i="18"/>
  <c r="E1" i="31"/>
  <c r="O19" i="23"/>
  <c r="B19" i="12"/>
  <c r="P19" i="23"/>
  <c r="C52" i="21"/>
  <c r="C55" i="21"/>
  <c r="E5" i="31"/>
  <c r="C32" i="19"/>
  <c r="B13" i="5"/>
  <c r="E6" i="31"/>
  <c r="C13" i="5"/>
  <c r="C32" i="20"/>
  <c r="C34" i="20"/>
  <c r="F32" i="19"/>
  <c r="B14" i="5"/>
  <c r="E31" i="31"/>
  <c r="P32" i="23"/>
  <c r="O32" i="23"/>
  <c r="F34" i="18"/>
  <c r="C45" i="1"/>
  <c r="D19" i="12"/>
  <c r="C40" i="18"/>
  <c r="E29" i="31"/>
  <c r="B40" i="18"/>
  <c r="C56" i="21"/>
  <c r="C34" i="19"/>
  <c r="E21" i="12"/>
  <c r="C12" i="6"/>
  <c r="C14" i="6"/>
  <c r="C18" i="6"/>
  <c r="C22" i="6"/>
  <c r="C15" i="5"/>
  <c r="C25" i="5"/>
  <c r="D13" i="5"/>
  <c r="B12" i="6"/>
  <c r="D12" i="6"/>
  <c r="C37" i="18"/>
  <c r="E2" i="31"/>
  <c r="D14" i="5"/>
  <c r="B15" i="5"/>
  <c r="B13" i="6"/>
  <c r="D15" i="5"/>
  <c r="D25" i="5"/>
  <c r="B25" i="5"/>
  <c r="D13" i="6"/>
  <c r="D14" i="6"/>
  <c r="D18" i="6"/>
  <c r="D22" i="6"/>
  <c r="B14" i="6"/>
  <c r="B18" i="6"/>
  <c r="B22" i="6"/>
</calcChain>
</file>

<file path=xl/sharedStrings.xml><?xml version="1.0" encoding="utf-8"?>
<sst xmlns="http://schemas.openxmlformats.org/spreadsheetml/2006/main" count="1665" uniqueCount="877">
  <si>
    <t>Közhatalmi bevételek</t>
  </si>
  <si>
    <t>Helyi adópótlék, adóbírság</t>
  </si>
  <si>
    <t>Igazgatási szolg.díj</t>
  </si>
  <si>
    <t>Bérleti és lízingdíjbevétel</t>
  </si>
  <si>
    <t>Egyéb szolgáltatások nyújtása</t>
  </si>
  <si>
    <t>Egyéb ellátási díjak</t>
  </si>
  <si>
    <t>Egyéb tárgyi eszköz értékesítés</t>
  </si>
  <si>
    <t>Sportlétesítmények, edzőtáborok működtetése és fejlesztése</t>
  </si>
  <si>
    <t>Közművelődési tevékenységek és támogatásuk</t>
  </si>
  <si>
    <t>Egyéb szociális pénzbeli és természetbeni ellátások, támogatások</t>
  </si>
  <si>
    <t>Kötelező összesen:</t>
  </si>
  <si>
    <t>Önkormányzatok és önkormányzati hivatalok jogalkotás és általános igazgatási tevékenysége</t>
  </si>
  <si>
    <t>Adó-, vám és jövedéki igazgatás</t>
  </si>
  <si>
    <t>Állampolgársági ügyek - Anyakönyv</t>
  </si>
  <si>
    <t>Építés hatósági ügyek</t>
  </si>
  <si>
    <t>Szociális Igazgatás</t>
  </si>
  <si>
    <t xml:space="preserve">Eredeti </t>
  </si>
  <si>
    <t>MŰKÖDÉSI TARTALÉK</t>
  </si>
  <si>
    <t>Általános tartalék</t>
  </si>
  <si>
    <t>Működési tartalék</t>
  </si>
  <si>
    <t>Működési céltartalék</t>
  </si>
  <si>
    <t>Zárolt tartalék</t>
  </si>
  <si>
    <t>FELHALMOZÁSI TARTALÉK</t>
  </si>
  <si>
    <t>Felhalmozási tartalék</t>
  </si>
  <si>
    <t>Felhalmozási céltartalék</t>
  </si>
  <si>
    <t>MINDÖSSZESEN:</t>
  </si>
  <si>
    <t>Műk.c.visszatér.tám. és kölcsönök ny. ÁH belül</t>
  </si>
  <si>
    <t>Műk.c.peszk.átad. ÁH kívülre nonprofit szerv.</t>
  </si>
  <si>
    <t>Műk.c.peszk.átad. ÁH kívülre egyházak</t>
  </si>
  <si>
    <t>Egyéb működési célú támogatások ÁH kívülre</t>
  </si>
  <si>
    <t>Egyéb működési kiadások</t>
  </si>
  <si>
    <t>Felh..c.garancia és kezességváll.m.köt.ÁH belül</t>
  </si>
  <si>
    <t>Felh.c.visszatér.tám. és kölcsönök ny. ÁH belül</t>
  </si>
  <si>
    <t>Egyéb felhalmozási c.tám. ÁH belül</t>
  </si>
  <si>
    <t>Felh.c.visszatér.tám. és kölcsönök ny. ÁH kívülre</t>
  </si>
  <si>
    <t>Egyéb felhalmozási kiadások</t>
  </si>
  <si>
    <t>Munkavállalók visszatér. Tám.</t>
  </si>
  <si>
    <t>ÁH belüli megelőlegezések</t>
  </si>
  <si>
    <t>Adóssághoz nem kapcs.származékos ügyl.bevét.</t>
  </si>
  <si>
    <t>Adóssághoz nem kapcs.származékos ügyl.kiad.</t>
  </si>
  <si>
    <t>Irányítószervi támogatás Wass Albert Műv.Központ</t>
  </si>
  <si>
    <t>Irányítószervi támogatás Gyöngyszem Óvoda</t>
  </si>
  <si>
    <t>Wass Albert Művelődési Központ</t>
  </si>
  <si>
    <t>Lakástámogatás</t>
  </si>
  <si>
    <t>Egyéb felhalmozási célú támogatások ÁH kívülre</t>
  </si>
  <si>
    <t>Költségvetési bevételek</t>
  </si>
  <si>
    <t>Költségvetési kiadások</t>
  </si>
  <si>
    <t>Külső forrásból finanszírozandó költségvetési hiány (hiány -, többlet +)</t>
  </si>
  <si>
    <t>Költségetési kiadások</t>
  </si>
  <si>
    <t>Költségvetési hiány (hiány -, többlet +)</t>
  </si>
  <si>
    <t>Belső finanszírozás</t>
  </si>
  <si>
    <t>Költségvetési hiány (-)/többlet (+)</t>
  </si>
  <si>
    <t>Előző évek maradványának igénybe vétele</t>
  </si>
  <si>
    <t>Irányítószervi támogatás bevétele</t>
  </si>
  <si>
    <t>Irányítószervi támogatás folyósítása</t>
  </si>
  <si>
    <t>Megnevezés</t>
  </si>
  <si>
    <t>Önkormányzat</t>
  </si>
  <si>
    <t>Wass A. Műv. K.</t>
  </si>
  <si>
    <t>Gyöngyszem Óvoda</t>
  </si>
  <si>
    <t>I. Bevételek</t>
  </si>
  <si>
    <t>Kamatbevételek</t>
  </si>
  <si>
    <t>Költségvetési bevételek:</t>
  </si>
  <si>
    <t>Bevételek összesen:</t>
  </si>
  <si>
    <t>Személyi juttatások</t>
  </si>
  <si>
    <t>Felújítások</t>
  </si>
  <si>
    <t>Beruházások</t>
  </si>
  <si>
    <t>Költségvetési kiadások:</t>
  </si>
  <si>
    <t>Kiadások összesen:</t>
  </si>
  <si>
    <t>lakosságnak juttatott támogatásai, pénzbeni és természetbeni szociális ellátásainak részletezése</t>
  </si>
  <si>
    <t xml:space="preserve">Megnevezés </t>
  </si>
  <si>
    <t>Ellátottak pénzbeni juttatása</t>
  </si>
  <si>
    <t>Összesen</t>
  </si>
  <si>
    <t>e Ft-ban</t>
  </si>
  <si>
    <t xml:space="preserve"> belső finanszírozásának bemutatása  </t>
  </si>
  <si>
    <t>Működés</t>
  </si>
  <si>
    <t xml:space="preserve">Felhalmozás </t>
  </si>
  <si>
    <t xml:space="preserve"> külső finanszírozásának bemutatása  </t>
  </si>
  <si>
    <t>Finanszírozási kiadások</t>
  </si>
  <si>
    <t>Külső forrásból finanszírozandó teljes hiány (hiány -, többlet +)</t>
  </si>
  <si>
    <t>Egyenleg</t>
  </si>
  <si>
    <t>Összeg</t>
  </si>
  <si>
    <t>Finanszírozási bevételek</t>
  </si>
  <si>
    <t>I.</t>
  </si>
  <si>
    <t>Kiadások összesen</t>
  </si>
  <si>
    <t>Intézmény megnevezése</t>
  </si>
  <si>
    <t>Főfogl. álláshely</t>
  </si>
  <si>
    <t>Részfogl. álláshely</t>
  </si>
  <si>
    <t>Összesen:</t>
  </si>
  <si>
    <t>Költségvetési  egyenleg (többlet +, hiány -)</t>
  </si>
  <si>
    <t>Egyenleg finanszírozási kiadásokkal  (többlet +, hiány -)</t>
  </si>
  <si>
    <t>Bevételek összesen</t>
  </si>
  <si>
    <t>Bevételek</t>
  </si>
  <si>
    <t>Építményadó</t>
  </si>
  <si>
    <t>Magánszem. Kommunális adója</t>
  </si>
  <si>
    <t>Kiadások</t>
  </si>
  <si>
    <t>2.</t>
  </si>
  <si>
    <t>4.</t>
  </si>
  <si>
    <t>5.</t>
  </si>
  <si>
    <t>6.</t>
  </si>
  <si>
    <t>7.</t>
  </si>
  <si>
    <t>9.</t>
  </si>
  <si>
    <t>11.</t>
  </si>
  <si>
    <t>12.</t>
  </si>
  <si>
    <t>13.</t>
  </si>
  <si>
    <t>Működési bevételek</t>
  </si>
  <si>
    <t>Műk. bevét. össz.:</t>
  </si>
  <si>
    <t>Munkaadókat terhelő járulékok</t>
  </si>
  <si>
    <t>Tartalék</t>
  </si>
  <si>
    <t>Műk. kiad. össz.:</t>
  </si>
  <si>
    <t xml:space="preserve">Felh. bevét. össz.: </t>
  </si>
  <si>
    <t>Felh. kiad. össz.:</t>
  </si>
  <si>
    <t>Kedvezmény</t>
  </si>
  <si>
    <t>érintettek száma</t>
  </si>
  <si>
    <t>kedvezmény mértéke</t>
  </si>
  <si>
    <t>összege</t>
  </si>
  <si>
    <t>Magánszemélyek kommunális adója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</si>
  <si>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</si>
  <si>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</si>
  <si>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</si>
  <si>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</si>
  <si>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</si>
  <si>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</si>
  <si>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</si>
  <si>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</si>
  <si>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</si>
  <si>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</si>
  <si>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</si>
  <si>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 xml:space="preserve">Bevételek </t>
  </si>
  <si>
    <t>Szociális étkeztetés</t>
  </si>
  <si>
    <t>Felhalmozási kiadások</t>
  </si>
  <si>
    <t>17.</t>
  </si>
  <si>
    <t>18.</t>
  </si>
  <si>
    <t>19.</t>
  </si>
  <si>
    <t>Készletbeszerzés</t>
  </si>
  <si>
    <t>Szolgáltatási kiadások</t>
  </si>
  <si>
    <t>Kiküldetés, reklám- és propagamda kiadások</t>
  </si>
  <si>
    <t>Különféle befizetések és egyéb dologi kiadások</t>
  </si>
  <si>
    <t>Ellátottak pénzbeli juttatásai</t>
  </si>
  <si>
    <t>Egyéb működési célú kiadások</t>
  </si>
  <si>
    <t>Egyéb felhalmozási célú kiadások</t>
  </si>
  <si>
    <t>Önkormányzatok működési támogatása</t>
  </si>
  <si>
    <t>Működési célú támogatások ÁH belülről</t>
  </si>
  <si>
    <t>Felhalmozási célú támogatások ÁH belülről</t>
  </si>
  <si>
    <t>Jövedelemadók</t>
  </si>
  <si>
    <t>Termékek és szolgáltatások adói</t>
  </si>
  <si>
    <t>Egyéb közhatalmi bevételek</t>
  </si>
  <si>
    <t>Dologi kiadások</t>
  </si>
  <si>
    <t>Egyéb működési célú támogatások ÁH belülről</t>
  </si>
  <si>
    <t>Felhalmozási bevételek</t>
  </si>
  <si>
    <t>Működési célú átvett pénzeszközök</t>
  </si>
  <si>
    <t>Felhalmozási célú átvett pénzeszközök</t>
  </si>
  <si>
    <t>Hitel, kölcsöntörlesztés ÁH kívülre</t>
  </si>
  <si>
    <t>Belföldi értékpapírok kiadásai</t>
  </si>
  <si>
    <t>Központi, irányító szervi támogatás folyósítása</t>
  </si>
  <si>
    <t>Pénzeszközök betétként elhelyezése</t>
  </si>
  <si>
    <t>Belföldi finanszírozás kiadásai</t>
  </si>
  <si>
    <t>Külföldi finanszírozás kiadásai</t>
  </si>
  <si>
    <t>Hitel, kölcsönfelvétel ÁH kívülről</t>
  </si>
  <si>
    <t>Belföldi értékpapírok bevételei</t>
  </si>
  <si>
    <t>Maradvány igénybevétele</t>
  </si>
  <si>
    <t>Központi, irányító szervi támogatás</t>
  </si>
  <si>
    <t>Belföldi finanszírozás bevételei</t>
  </si>
  <si>
    <t>Külföldi finanszírozás bevételei</t>
  </si>
  <si>
    <t xml:space="preserve">Lakásfenntartási támogatás </t>
  </si>
  <si>
    <t>Belső finanszírozási bevételek</t>
  </si>
  <si>
    <t>Belső finanszírozási kiadások</t>
  </si>
  <si>
    <t>Egyéb műk.célú támogatások bevételei ÁH belül</t>
  </si>
  <si>
    <t>OEP finanszírozás Védőnői szolgálat</t>
  </si>
  <si>
    <t>Egyéb felh.célú támogatások bevételei ÁH belül</t>
  </si>
  <si>
    <t>Vagyoni típusú adók</t>
  </si>
  <si>
    <t>Értékesítési és forg. tip. adók</t>
  </si>
  <si>
    <t>Állandó jell. Végz. Iparűzési adó</t>
  </si>
  <si>
    <t>Egyéb áruhasználati és szolgáltatási tip. adók</t>
  </si>
  <si>
    <t>Tartózkodás után fizetett idegenforgalmi adó</t>
  </si>
  <si>
    <t>Korábbi évek megszünt adónemeiből bef.adóbev.</t>
  </si>
  <si>
    <t>Önkormányzatok működési támogatásai</t>
  </si>
  <si>
    <t>Elvonások és befiz. Bevételei</t>
  </si>
  <si>
    <t>Műk. garancia és kezességváll.bevét.</t>
  </si>
  <si>
    <t>Műk.célú visszatér.támogatások és kölcsönök visszatér.</t>
  </si>
  <si>
    <t>Műk.célú visszatér.támogatások és kölcsönök ig.vét.</t>
  </si>
  <si>
    <t>Felh.célú önkormányzati támogatások</t>
  </si>
  <si>
    <t>Vis maior támogatások</t>
  </si>
  <si>
    <t>Lakossági közműfejl. Tám.</t>
  </si>
  <si>
    <t>Felhalmozási célú önkorm. támogatások</t>
  </si>
  <si>
    <t>Felh. garancia és kezességváll.szárm, megtér.</t>
  </si>
  <si>
    <t>Felh.célú visszatér.támogatások és kölcsönök visszatér.</t>
  </si>
  <si>
    <t>felh..célú visszatér.támogatások és kölcsönök ig.vét.</t>
  </si>
  <si>
    <t>Egyéb felhalm. célú támogatások ÁH belülről</t>
  </si>
  <si>
    <t xml:space="preserve">Szolgáltatások ellenértéke </t>
  </si>
  <si>
    <t>Közvetített szolg. bevétele ÁH belülről</t>
  </si>
  <si>
    <t>Közvetített szolg. bevétele ÁH kívülről</t>
  </si>
  <si>
    <t>Közvetített szolgáltatások ellenértéke</t>
  </si>
  <si>
    <t>Intézményi térítési díjak</t>
  </si>
  <si>
    <t>Ellátási díjak</t>
  </si>
  <si>
    <t>Készletértékesítés bevételei</t>
  </si>
  <si>
    <t>Tulajdonosi bevételek</t>
  </si>
  <si>
    <t>Kiszámlázott ÁFA</t>
  </si>
  <si>
    <t>Egyéb pénzügyi műveletek bevét. (árf. Nyereség)</t>
  </si>
  <si>
    <t>Egyéb működési bevételek</t>
  </si>
  <si>
    <t>Immateriális javak értékesítése</t>
  </si>
  <si>
    <t>Ingatlanok és kapcs. vé.jogok értékesítése</t>
  </si>
  <si>
    <t>Ingatlanok értékesítése</t>
  </si>
  <si>
    <t>Egyéb eszközök értékesítése (gép…)</t>
  </si>
  <si>
    <t>Műk.c.visszat.tám.megt. ÁH belülről</t>
  </si>
  <si>
    <t>Egyéb működési célú peszk. átvétel</t>
  </si>
  <si>
    <t>Helyi önk. működésének ált. támogatása</t>
  </si>
  <si>
    <t>Munkavállalók visszatér.tám.</t>
  </si>
  <si>
    <t>Elvonások és befizetések</t>
  </si>
  <si>
    <t>Műk.c.garancia és kezességváll.m.köt.ÁH belül</t>
  </si>
  <si>
    <t>Műk.c.visszatér.tám. s kölcsönök törl.ÁH belül</t>
  </si>
  <si>
    <t>Egyéb működési c.tám. ÁH belül</t>
  </si>
  <si>
    <t>Műk.c.garancia és kezességváll.m.köt.ÁH kívülre</t>
  </si>
  <si>
    <t>Műk.c.visszatér.tám. és kölcsönök ny. ÁH kívülre</t>
  </si>
  <si>
    <t>Felh.c.visszat.tám.megt. ÁH kívülről</t>
  </si>
  <si>
    <t xml:space="preserve">Bevételek összesen </t>
  </si>
  <si>
    <t>Többlet (+), hiány (-)</t>
  </si>
  <si>
    <t>Külső finanszírozási kiadások</t>
  </si>
  <si>
    <t>Önkormányzati feladatok összesen:</t>
  </si>
  <si>
    <t>Kölcsöntörlesztés</t>
  </si>
  <si>
    <t>Megj.</t>
  </si>
  <si>
    <t xml:space="preserve">Különbözet </t>
  </si>
  <si>
    <t>Felhalmozási c.átvett pénzeszközök</t>
  </si>
  <si>
    <t>ÁH belüli megelőlegezések visszafizetése</t>
  </si>
  <si>
    <t>Fogászati ügyeleti hozzájárulás T.bánya</t>
  </si>
  <si>
    <r>
      <t xml:space="preserve">Jövedelemadók  Magánszemélyek jövedelemadói </t>
    </r>
    <r>
      <rPr>
        <sz val="9"/>
        <rFont val="Calibri"/>
        <family val="2"/>
        <charset val="238"/>
      </rPr>
      <t>(termőföld. bérbead. SZJA)</t>
    </r>
  </si>
  <si>
    <t>Betétek megszűntetése</t>
  </si>
  <si>
    <t>AH belüli megelőlegezések visszafizetése</t>
  </si>
  <si>
    <t>Egyéb önkormányzati feladatok támogatása</t>
  </si>
  <si>
    <t>Család- és gyermekjóléti szolgálat</t>
  </si>
  <si>
    <t>Őszi Napfény  Idősek Otthona</t>
  </si>
  <si>
    <t>Őszi Napfény Idősek Otthona</t>
  </si>
  <si>
    <t>Intézményi ellátottak pénzbeli juttatásai (K47)</t>
  </si>
  <si>
    <t>Egyéb nem intézményi ellátások (K48)</t>
  </si>
  <si>
    <t>1/b</t>
  </si>
  <si>
    <t>1/a</t>
  </si>
  <si>
    <t>Bevétel</t>
  </si>
  <si>
    <t>Kiadás</t>
  </si>
  <si>
    <t>Működési kiadások</t>
  </si>
  <si>
    <t>M.adókat terh. jár. és szochó</t>
  </si>
  <si>
    <t>Dologi</t>
  </si>
  <si>
    <t>Egyéb működési kiadás</t>
  </si>
  <si>
    <t>Ellátottak pénzbeli juttatása</t>
  </si>
  <si>
    <t>Működési tartalékok</t>
  </si>
  <si>
    <t>Felújítás</t>
  </si>
  <si>
    <t>Beruházás</t>
  </si>
  <si>
    <t>Felhalmozási tartalékok</t>
  </si>
  <si>
    <t>Költségvetési szerveknek folyósított támogatás</t>
  </si>
  <si>
    <t>Önkormányzatok és önkormányzati hivatalok jogalkotó és általános igazgatási tevékenysége</t>
  </si>
  <si>
    <t>Kötelező</t>
  </si>
  <si>
    <t>Köztemető fenntartás és működtetés</t>
  </si>
  <si>
    <t>Az önkormányzati vagyonnal való gazdálkodással kapcsolatos feladatok</t>
  </si>
  <si>
    <t>Kiemelt állami és önkormányzati rendezvények</t>
  </si>
  <si>
    <t>Támogatási célú finanszírozási műveletek</t>
  </si>
  <si>
    <t>Közterület rendjének fenntartása</t>
  </si>
  <si>
    <t>Közutak, hidak, alagutak üzemeltetése, fenntartása</t>
  </si>
  <si>
    <t>Szennyvíz gyűjtése, tisztítása, elhelyezése</t>
  </si>
  <si>
    <t>Közvilágítás</t>
  </si>
  <si>
    <t>Irányítószervi támogatás Őszi Napfény Idősek Otthona</t>
  </si>
  <si>
    <t>Műk.c.visszat.tám.visszatérülése ÁH belülről</t>
  </si>
  <si>
    <t>Felh.c.visszatér.tám. s kölcsönök törl.ÁH belül - PHARE</t>
  </si>
  <si>
    <t>Gyógyszertámogatás</t>
  </si>
  <si>
    <t>Őszi Napfény Idősek Otthona lakók</t>
  </si>
  <si>
    <t>CSÁO üzemeltetéshez átvett (Komárom, Mocsa, Kigmánd)</t>
  </si>
  <si>
    <t>3/a</t>
  </si>
  <si>
    <t>3/b</t>
  </si>
  <si>
    <t>és kiadásainak alakulása működési és fejlesztési jelleg szerinti bontásban</t>
  </si>
  <si>
    <t>Előre nem tervezhető kiadások</t>
  </si>
  <si>
    <t>ÁH-on belüli megelől.visszafizetése</t>
  </si>
  <si>
    <t>Munkaügy igazgatása</t>
  </si>
  <si>
    <t>Önkormányzati vagyonnal való gazdálkodás</t>
  </si>
  <si>
    <t>Gyöngyszem Óvoda összesen</t>
  </si>
  <si>
    <t>Könyvtári állomány gyarapítása, nyilvántartása</t>
  </si>
  <si>
    <t>Könyvtári szolgáltatások</t>
  </si>
  <si>
    <t>Közművelődés – hagyományos közösségi kulturális értékek gondozása</t>
  </si>
  <si>
    <t>Gyermekek átmeneti ellátása</t>
  </si>
  <si>
    <t>Önként  vállalt</t>
  </si>
  <si>
    <t xml:space="preserve">Zöldterület kezelés </t>
  </si>
  <si>
    <t xml:space="preserve">Város- községgazdálkodási egyéb szolgáltatások </t>
  </si>
  <si>
    <t>Háziorvosi alapellátás</t>
  </si>
  <si>
    <t>Műk.c.peszk.átad. ÁH belül KTKT - állami támogatások</t>
  </si>
  <si>
    <t>Műk.c.peszk.átad. ÁH belül KTKT - működési kiadásokhoz</t>
  </si>
  <si>
    <t>Kommunikációs szolgáltatások</t>
  </si>
  <si>
    <t>Pályázat- és támogatáskezelés és - működtetés</t>
  </si>
  <si>
    <t>Más szerv részére végzett pénzügyi-gazdálkodási, üzem., egyéb szolg.</t>
  </si>
  <si>
    <t>Háziorvosi ügyeleti ellátás</t>
  </si>
  <si>
    <t>Fogorvosi ügyeleti ellátás</t>
  </si>
  <si>
    <t>Ifjúság-egészségügyi gondozás</t>
  </si>
  <si>
    <t>Határon túli magyarok egyéb támogatásai (Testvérvárosi kapcs.kiad.)</t>
  </si>
  <si>
    <t>Gyermekétkeztetés köznevelési intézményekben</t>
  </si>
  <si>
    <t>Munkahelyi étkeztetés köznevelési intézményekben</t>
  </si>
  <si>
    <t>Óvodai nevelés, elllátás szakmai feladatai</t>
  </si>
  <si>
    <t>SNI-s gyermekek óvodai nev.szakmai feladatai</t>
  </si>
  <si>
    <t>Óvodai nevelés, ellátás működtetési feldatai</t>
  </si>
  <si>
    <t>Őszi Napfény Idősek Otthona összesen</t>
  </si>
  <si>
    <t>Wass Albert Művelődési Központ és Könyvtár összesen</t>
  </si>
  <si>
    <t>Helyi adók</t>
  </si>
  <si>
    <t>Osztalék, koncessziós díj, hozambevétel (kamatbevétel)</t>
  </si>
  <si>
    <t>Díjak, pótlékok, bírságok</t>
  </si>
  <si>
    <t>Talajterhelési díj</t>
  </si>
  <si>
    <t>Szolgáltatások ellenértéke (temető fenntartási hozzájárulás,sírhelydíj, nevezési díj)</t>
  </si>
  <si>
    <t>Tulajdonosi bevétel (használatba adásból, üzemeltetésbe adásból származó bevétel)</t>
  </si>
  <si>
    <t>Pótlék, bírság</t>
  </si>
  <si>
    <t>Tárgyi eszközök, immateriális javak, és önkormányzati vagyonértékesítésből származó bevétel (ÁFA nélküli, csak önkormányzat)</t>
  </si>
  <si>
    <t>SAJÁT BEVÉTELEK</t>
  </si>
  <si>
    <t>Saját bevételek 50 %-a</t>
  </si>
  <si>
    <t>Előző év (ek) ben keletkezett tárgyévet terhelő fizetési kötelezettség</t>
  </si>
  <si>
    <t>Hosszú lejáratú hitel tőke és kamatfizetési kötelezettsége</t>
  </si>
  <si>
    <t>Tárgyévben keletkezett, illetve keletkező, tárgyévet terhelő fizetési kötelezettség</t>
  </si>
  <si>
    <t>FIZETÉSI KÖTELEZETTSÉG ÖSSZESEN</t>
  </si>
  <si>
    <t xml:space="preserve">Fizetési kötelezettséggel csökkentett saját bevétel 50 %-a </t>
  </si>
  <si>
    <t>Ft-ban</t>
  </si>
  <si>
    <t>Önkormányzatok igazg.tev.</t>
  </si>
  <si>
    <t>Étkeztetés</t>
  </si>
  <si>
    <t>Sportcsarnok</t>
  </si>
  <si>
    <t>Zöldterület-kezelés</t>
  </si>
  <si>
    <t>Város- és községgazdálkodás</t>
  </si>
  <si>
    <t>Köztemető-fenntartás</t>
  </si>
  <si>
    <t>Védőnői szolgálat</t>
  </si>
  <si>
    <t>Helyi közutak fenntartása, üzem.</t>
  </si>
  <si>
    <t>Részesedések értékesítése</t>
  </si>
  <si>
    <t>8.</t>
  </si>
  <si>
    <t>10.</t>
  </si>
  <si>
    <t>14.</t>
  </si>
  <si>
    <t>16.</t>
  </si>
  <si>
    <t>16/a.</t>
  </si>
  <si>
    <t>16/b.</t>
  </si>
  <si>
    <t>16/c.</t>
  </si>
  <si>
    <t>Intézményen kívüli gyermekétkeztetés</t>
  </si>
  <si>
    <t>Demens betegek tartós bentlakásos ellátása</t>
  </si>
  <si>
    <t>MŰKÖDÉSI KIADÁSOK</t>
  </si>
  <si>
    <t>Kisbéri Városigazg.</t>
  </si>
  <si>
    <t xml:space="preserve">Rendkívüli támogatás </t>
  </si>
  <si>
    <t xml:space="preserve">Temetési támogatás </t>
  </si>
  <si>
    <t xml:space="preserve">Köztemetés </t>
  </si>
  <si>
    <t>Városigazg.</t>
  </si>
  <si>
    <t>Kisbéri Városigazgatóság</t>
  </si>
  <si>
    <t>összesen</t>
  </si>
  <si>
    <t>Város-  igazgatóság</t>
  </si>
  <si>
    <t>1.</t>
  </si>
  <si>
    <t>3.</t>
  </si>
  <si>
    <t>15.</t>
  </si>
  <si>
    <t>20.</t>
  </si>
  <si>
    <t>21.</t>
  </si>
  <si>
    <t>22.</t>
  </si>
  <si>
    <t>23.</t>
  </si>
  <si>
    <t>24.</t>
  </si>
  <si>
    <t>sorszám</t>
  </si>
  <si>
    <t>Megbízási díjas, tiszteletdíjas fő-ben</t>
  </si>
  <si>
    <t>Városigazgatóság</t>
  </si>
  <si>
    <t>Jogcím száma</t>
  </si>
  <si>
    <t>Fajlagos összeg</t>
  </si>
  <si>
    <t>Mutató</t>
  </si>
  <si>
    <t>Forint</t>
  </si>
  <si>
    <t>A települési önkormányzatok egyes köznevelési feladatainak támogatása</t>
  </si>
  <si>
    <t>Család- és gyermekjóléti központ</t>
  </si>
  <si>
    <t>A települési önkormányzatok kulturális feladatainak támogatása</t>
  </si>
  <si>
    <t>28.</t>
  </si>
  <si>
    <t>Irányítószervi támogatás Városigazgatóság</t>
  </si>
  <si>
    <t>Egyéb különféle szolgáltatások nyújtása</t>
  </si>
  <si>
    <t>Szakmai szolgáltatás nyújtása</t>
  </si>
  <si>
    <t>Betétek megszüntetése, kincstárjegy vissszavásárlás</t>
  </si>
  <si>
    <t xml:space="preserve"> Középtávú tervezés az adósságot keletkeztető ügyletekből adódó kötelezettségekről az Áht. 29/A. §-a alapján</t>
  </si>
  <si>
    <t>Kiadás összesen</t>
  </si>
  <si>
    <t>Dolgozók munkáltatói kölcsön törlesztése (felhalmozási célú)</t>
  </si>
  <si>
    <t>Bevétel összesen</t>
  </si>
  <si>
    <t>Nettó adósságállomány</t>
  </si>
  <si>
    <t>INTERREG V-A Szlovákia - Magyarország Együttműködési Program
SKHU/1601      PT1 - Természet és kultúra</t>
  </si>
  <si>
    <t>CULTPLAY - Interaktív tematikus parkok létrehozása, a kulturális örökség innovatív használata</t>
  </si>
  <si>
    <t>2.900.000 EUR
Ebből Kisbérre eső rész: 300.000 EUR (kb. 93.000.000 Ft)</t>
  </si>
  <si>
    <t>15.000 EUR
(kb. 4.650.000 Ft)</t>
  </si>
  <si>
    <t>EU-s projekt neve</t>
  </si>
  <si>
    <t>Azonosítója</t>
  </si>
  <si>
    <t>Támogatás státusza</t>
  </si>
  <si>
    <t xml:space="preserve">Kisbér Város Önkormányzata </t>
  </si>
  <si>
    <t>Önként Vállalt</t>
  </si>
  <si>
    <t>Támogatás összesen</t>
  </si>
  <si>
    <t>Önként vállalt összesen:</t>
  </si>
  <si>
    <t>Önként vállalt</t>
  </si>
  <si>
    <t>további évek</t>
  </si>
  <si>
    <t>Lovarda visszapótlási kötelezettség</t>
  </si>
  <si>
    <t>a)</t>
  </si>
  <si>
    <t>bevételi főösszegét</t>
  </si>
  <si>
    <t>b)</t>
  </si>
  <si>
    <t>kiadási főösszegét</t>
  </si>
  <si>
    <t>Ft-ban állapítja meg.</t>
  </si>
  <si>
    <t>c)</t>
  </si>
  <si>
    <t>a költségvetés bevételi főösszegén belül a költségvetési bevételek főösszegét</t>
  </si>
  <si>
    <t>ezen belül:</t>
  </si>
  <si>
    <t>- a működési célú költségvetési bevételeket</t>
  </si>
  <si>
    <t>- a felhalmozási célú pénzforgalmi bevételeket</t>
  </si>
  <si>
    <t>a költségvetési bevételek főösszegén belül:</t>
  </si>
  <si>
    <t xml:space="preserve">az ÁH belülről származó működési célú támogatások összegét </t>
  </si>
  <si>
    <t>az ÁH belülről származó felhalmozási célú támogatások összegét</t>
  </si>
  <si>
    <t>közhatalmi bevételek összegét</t>
  </si>
  <si>
    <t>működési bevételek összegét</t>
  </si>
  <si>
    <t>felhalmozási bevételek összegét</t>
  </si>
  <si>
    <t>működési célra átvett pénzeszközök összegét</t>
  </si>
  <si>
    <t>felhalmozási célra átvett pénzeszközök összegét</t>
  </si>
  <si>
    <t>d)</t>
  </si>
  <si>
    <t>a költségvetés bevételi főösszegén belül a finanszírozási bevételek főösszegét</t>
  </si>
  <si>
    <t>a belföldi finanszírozás bevételeit</t>
  </si>
  <si>
    <t>a külföldi finanszírozás bevételeit</t>
  </si>
  <si>
    <t>adóssághoz nem kapcs. szárm. ügyletek bevételeit</t>
  </si>
  <si>
    <t>a finanszírozási bevételek főösszegén belül:</t>
  </si>
  <si>
    <t>betétlekötések megszűntetése</t>
  </si>
  <si>
    <t>forgatási célú értékpapírok beváltása</t>
  </si>
  <si>
    <t>maradvány igénybevétel</t>
  </si>
  <si>
    <t>irányítószervi támogatás</t>
  </si>
  <si>
    <t>e)</t>
  </si>
  <si>
    <t>a költségvetés kiadási főösszegén belül a költségvetési kiadások főösszegét</t>
  </si>
  <si>
    <t>- a működési jellegű költségvetési kiadások összegét</t>
  </si>
  <si>
    <t xml:space="preserve">        ebből:</t>
  </si>
  <si>
    <t xml:space="preserve">                személyi juttatás összegét</t>
  </si>
  <si>
    <t xml:space="preserve">               munkaadókat terhelő járulékok összegét</t>
  </si>
  <si>
    <t xml:space="preserve">               dologi kiadások összegét</t>
  </si>
  <si>
    <t xml:space="preserve">               ellátottak pénzbeli juttatásának összegét</t>
  </si>
  <si>
    <t xml:space="preserve">               egyéb működési célú kiadások összegét</t>
  </si>
  <si>
    <t>- a felhalmozási jellegű költségvetési kiadások összegét</t>
  </si>
  <si>
    <t xml:space="preserve">                beruházások összegét</t>
  </si>
  <si>
    <t xml:space="preserve">               felújítások összegét</t>
  </si>
  <si>
    <t xml:space="preserve">               egyéb felhalmozási célú kiadások összegét</t>
  </si>
  <si>
    <t>f)</t>
  </si>
  <si>
    <t>a költségvetés kiadás főösszegén belül a finanszírozási kiadások főösszegét</t>
  </si>
  <si>
    <t>a belföldi finanszírozás kiadásait</t>
  </si>
  <si>
    <t xml:space="preserve">   ebből: irányítószervi támogatást</t>
  </si>
  <si>
    <t xml:space="preserve"> ÁH belüli megelőlegezések     visszafizetése</t>
  </si>
  <si>
    <t>forgatási célú értékpapírok vásárlása</t>
  </si>
  <si>
    <t>a külföldi finanszírozás kiadásait</t>
  </si>
  <si>
    <t>adóssághoz nem kapcs. szárm. ügyletek kiadásait</t>
  </si>
  <si>
    <t>8/b.</t>
  </si>
  <si>
    <t>8/a.</t>
  </si>
  <si>
    <t>9/a.</t>
  </si>
  <si>
    <t>10/b.</t>
  </si>
  <si>
    <t>10/a.</t>
  </si>
  <si>
    <t>Államigazgatási feldatok összesen:</t>
  </si>
  <si>
    <t>Államigazgatási feladatok összesen:</t>
  </si>
  <si>
    <t>Önkormányzatok funkcióra nem sorolható bevételei államháztartáson kívülről</t>
  </si>
  <si>
    <t>Államigazgatási</t>
  </si>
  <si>
    <t>eredeti</t>
  </si>
  <si>
    <t>módosított</t>
  </si>
  <si>
    <t>er.</t>
  </si>
  <si>
    <t>mód.</t>
  </si>
  <si>
    <t>Módosított</t>
  </si>
  <si>
    <t>Pe.betétként elhelyezése, kincstárjegy vás.</t>
  </si>
  <si>
    <t>29.</t>
  </si>
  <si>
    <t>Idősek nappali ellátása</t>
  </si>
  <si>
    <t>Házi segítségnyújtás</t>
  </si>
  <si>
    <t>Betétek megszüntetése, kincstárjegy visszavás.</t>
  </si>
  <si>
    <t>Pénzeszközök betétként elh.,kincstárjegy vás.</t>
  </si>
  <si>
    <t>Külső finanszírozási bevételek</t>
  </si>
  <si>
    <t>Óvodai nevelés, ellátás működtetési feladatai</t>
  </si>
  <si>
    <t>Elvonások és befizetések bevételei</t>
  </si>
  <si>
    <t>Biztosítók által fizetett díjak</t>
  </si>
  <si>
    <t>Háztartásoktól felh.célú átvett p.eszk.(csatorna, viziközmű)</t>
  </si>
  <si>
    <t>Nyert, megvalósítás folyamatban</t>
  </si>
  <si>
    <t>Európai Uniós támogatással megvalósuló projektjei  a beadott kérelmek alapján</t>
  </si>
  <si>
    <t>Egyéb felh.célú támogatások bevételei ÁH kívülről</t>
  </si>
  <si>
    <t>Ápolási díj</t>
  </si>
  <si>
    <t>Működési többlet (+), működési hiány (-)</t>
  </si>
  <si>
    <t>Felhalmozási többlet (+), felhalmozási hiány (-)</t>
  </si>
  <si>
    <t>Bölcsődei üzemeltetési támogatás</t>
  </si>
  <si>
    <t>KTKT-tól átvett - hivatali feladatok ellátása</t>
  </si>
  <si>
    <t>Környezetvédelmi Alap</t>
  </si>
  <si>
    <t>Lakásfelújítások</t>
  </si>
  <si>
    <t>Étkeztetés térítési díj bevétele</t>
  </si>
  <si>
    <t>Alkalmazottak egyéb térítési díj bevétele</t>
  </si>
  <si>
    <t>Térségi együttműködés EFOP-3.9.2-16-2017-00018</t>
  </si>
  <si>
    <t>Igényelt/elnyert támogatás</t>
  </si>
  <si>
    <t>ÁH-on belüli megelőleg.v.fiz.</t>
  </si>
  <si>
    <t>Belföldi értékpapírok vásárlása</t>
  </si>
  <si>
    <t>Belföldi értékpapírok visszavásárlása</t>
  </si>
  <si>
    <t>Műk.c.peszk.átad. ÁH belül KTKT - szociális ágazati pótlék</t>
  </si>
  <si>
    <t>Közművelődési érdekeltségnövelő támogatás</t>
  </si>
  <si>
    <t>Más egyéb pénzügyi műveletek bevételei</t>
  </si>
  <si>
    <t>Turizmus igazgatása és támogatása</t>
  </si>
  <si>
    <t>A helyi identitás és kohézió erősítése
/TOP-5.3.1-16/</t>
  </si>
  <si>
    <t xml:space="preserve">Kisbér Spartacus SE 2027.03.31-ig 200 e Ft/hó 213/2018.(X.12) </t>
  </si>
  <si>
    <t>Helyi kisközösségek Kisbérhez tartozásának erősítése
/TOP-5.3.1-16-KO1-2017-00005/ Kisbér része: 51.028.800,- Ft</t>
  </si>
  <si>
    <t>Eredeti</t>
  </si>
  <si>
    <t xml:space="preserve">Mód.     </t>
  </si>
  <si>
    <t>Csatorna visszapótlás</t>
  </si>
  <si>
    <t xml:space="preserve">Dologi </t>
  </si>
  <si>
    <t>Személyi</t>
  </si>
  <si>
    <t>Járulék</t>
  </si>
  <si>
    <t>Lovarda visszapótlás</t>
  </si>
  <si>
    <t>Helyi kisközösségek Kisbérhez tartozásának erősítése
/TOP-5.3.1-16-KO1-2017-00005/</t>
  </si>
  <si>
    <t>Finansz.kiadás</t>
  </si>
  <si>
    <t>Egyéb műk.kiadás</t>
  </si>
  <si>
    <t>NTERREG V-A Szlovákia - Magyarország Együttműködési Program SKHU/1601      PT1 - Természet és kultúra - CultPlay pályázat</t>
  </si>
  <si>
    <t>Időskorúak tartós bentlakásos ellátása - működés</t>
  </si>
  <si>
    <t>Időskorúak tartós bentlakásos ellátása - szakmai</t>
  </si>
  <si>
    <t>Dologi kiadások között</t>
  </si>
  <si>
    <t>Karácsonyi ajándékcsomag</t>
  </si>
  <si>
    <t>Tűzifa</t>
  </si>
  <si>
    <t>Fogászati alapellátás</t>
  </si>
  <si>
    <t>Múzeumi kiállítási tevékenység . Kiskastély</t>
  </si>
  <si>
    <t>Gyermekétkeztetés köznevelési intézményben</t>
  </si>
  <si>
    <t xml:space="preserve">Időskorúak tartós bentlakásos ellátása </t>
  </si>
  <si>
    <t>Közfoglalkoztatás támogatása</t>
  </si>
  <si>
    <t>ÁH-on belüle megelőlegezések</t>
  </si>
  <si>
    <t>ÁH-on belüle megelőlegezések visszafizetése</t>
  </si>
  <si>
    <t>Önkormányzatok és önkormányzati hivatalok jogalkotás és általános igazgatási tevékenysége - munkáltatói kölcsön</t>
  </si>
  <si>
    <t>Más szerv részére végzett pénzügyi-gazdálkodási, üzem., egyéb szolg. - munkáltatói kölcsön</t>
  </si>
  <si>
    <t>Önkormányzatok és önkormányzati hivatalok jogalkotás és általános igazgatási tevékenysége - munkáltatói kölcsön folyósítás</t>
  </si>
  <si>
    <t>Önkormányzatok funkcióra nem sorolható bevételei államháztartáson kívülről - külsős étkeztetés szabad kapacitás terhére</t>
  </si>
  <si>
    <t>Kiskastély</t>
  </si>
  <si>
    <t>Makettpark</t>
  </si>
  <si>
    <t>Közmunkaprogram</t>
  </si>
  <si>
    <t>Diákmunka</t>
  </si>
  <si>
    <t>Rendezvények</t>
  </si>
  <si>
    <t>Sportcsarnok, sportpálya, sportöltöző működtetése és fejlesztése</t>
  </si>
  <si>
    <t>Lovarda, lovarda wellnes</t>
  </si>
  <si>
    <t>Helyi adó bevételek</t>
  </si>
  <si>
    <t>Lakások</t>
  </si>
  <si>
    <t>ÁH-on belüli megelőlegezések</t>
  </si>
  <si>
    <t>Kisbéri Közös Önk-i Hivatal</t>
  </si>
  <si>
    <t>Kisbéri Gyöngyszem Óvoda és Bölcsőde</t>
  </si>
  <si>
    <t>Városi disznótor</t>
  </si>
  <si>
    <t>Könyvtár</t>
  </si>
  <si>
    <t>Állami támogatás</t>
  </si>
  <si>
    <t>Felh.c.garancia és kezességváll.m.köt.ÁH kívülre</t>
  </si>
  <si>
    <t>Kamatbevétel</t>
  </si>
  <si>
    <t>Közfoglalkoztatás</t>
  </si>
  <si>
    <t>Múzeumi kiállítási tevékenység - Kiskastély</t>
  </si>
  <si>
    <t>Civil szervezetek  támogatása</t>
  </si>
  <si>
    <t>Makettpark  -Történelmi hely, építmény, egyéb látványoság működtetése, megóvása</t>
  </si>
  <si>
    <t>Lovarda</t>
  </si>
  <si>
    <t>Elszámolások a központi költségvetéssel</t>
  </si>
  <si>
    <t>Roma nemzetiségi önkormányzat működés biztosítása</t>
  </si>
  <si>
    <t>Lakások fenntartása, üzemeltetése</t>
  </si>
  <si>
    <t>Ipari park pályázat TOP-1.1.1-15</t>
  </si>
  <si>
    <t>Helyi identitás pályázat TOP-5.3.1-16</t>
  </si>
  <si>
    <t>Wass Albert Művelődési Központ és Városi Könyvtár</t>
  </si>
  <si>
    <t>Kötelelező összesen</t>
  </si>
  <si>
    <t>Önként vállalt összesen</t>
  </si>
  <si>
    <t>Aállamigazgatási feladatok összesen</t>
  </si>
  <si>
    <t>Települési önk. gyermekétkeztetési felad.támogatása</t>
  </si>
  <si>
    <t>Települési önk. köznevelési fea.támogatása</t>
  </si>
  <si>
    <t>Települési önk. szociális és gyj.fea.támogatása</t>
  </si>
  <si>
    <t xml:space="preserve">Települési önk. kulturális fea.tám. </t>
  </si>
  <si>
    <t>KÖH Kisbér műk.hj. Császár önk.</t>
  </si>
  <si>
    <t>Közös Önkormányzati Hivatal</t>
  </si>
  <si>
    <t>Pályázatok</t>
  </si>
  <si>
    <t>Tárgyévi EU-s támogatás előirányzata</t>
  </si>
  <si>
    <t>Tárgyévi kiadások előirányzata</t>
  </si>
  <si>
    <t>Projekt összköltsége (pályázat szerint)</t>
  </si>
  <si>
    <t>Saját erő (pályázat szerint)</t>
  </si>
  <si>
    <t>Egyéb felh.kiadás</t>
  </si>
  <si>
    <t>Egyéb működési kiadás (elvonás)</t>
  </si>
  <si>
    <t>Kisbéri Közös Önkormányzati Hivatal</t>
  </si>
  <si>
    <t>Kisbéri Többcélú Kistérségi Társulás</t>
  </si>
  <si>
    <t>Bölcsőde</t>
  </si>
  <si>
    <t>bölcsőde konyha</t>
  </si>
  <si>
    <t>Nyári diákmunka</t>
  </si>
  <si>
    <t>Bölcsödei ellátás</t>
  </si>
  <si>
    <t>Bölcsődei étkeztetés</t>
  </si>
  <si>
    <t>Felhalmozási célú tartalék</t>
  </si>
  <si>
    <t>Egyéb működési célú kiadások (tartalék nélkül)</t>
  </si>
  <si>
    <t>működési tartalék összegét</t>
  </si>
  <si>
    <t>felhalmozási tartalék összegét</t>
  </si>
  <si>
    <t>Időskorúak tartós bentlakásos ellátása - böli konyha</t>
  </si>
  <si>
    <t>Szociális étkeztetés szociális konyhán</t>
  </si>
  <si>
    <t>Finanszírozási műveletek -maradvány</t>
  </si>
  <si>
    <t>Temető fenntartás</t>
  </si>
  <si>
    <t>2024.</t>
  </si>
  <si>
    <t>2024. évi ei.</t>
  </si>
  <si>
    <t>1.1.1.1.</t>
  </si>
  <si>
    <t>1.1.1.2.</t>
  </si>
  <si>
    <t>Településüzemeltetés - zöldterület-gazdálkodás támogatása</t>
  </si>
  <si>
    <t>1.1.1.4.</t>
  </si>
  <si>
    <t>Településüzemeltetés - köztemető támogatása</t>
  </si>
  <si>
    <t>1.1.1.5.</t>
  </si>
  <si>
    <t>Településüzemeltetés - közutak támogatása</t>
  </si>
  <si>
    <t>1.1.1.6.</t>
  </si>
  <si>
    <t>1.1.1.7.</t>
  </si>
  <si>
    <t>1.1.</t>
  </si>
  <si>
    <t>A települési önkormányzatok működésének általános támogatása</t>
  </si>
  <si>
    <t>1.2.1.1.</t>
  </si>
  <si>
    <t>Óvodaműködtetési támogatás - óvoda napi nyitvatartási ideje eléri a nyolc órát</t>
  </si>
  <si>
    <t>1.2.2.1.</t>
  </si>
  <si>
    <t>pedagógusok átlagbéralapú támogatása</t>
  </si>
  <si>
    <t>1.2.3.1.1.1.1.</t>
  </si>
  <si>
    <t>pedagógus II. kategóriába sorolt pedagógusok, pedagógus szakképzettséggel rendelkező segítők kiegészítő támogatása</t>
  </si>
  <si>
    <t>1.2.5.1.1.</t>
  </si>
  <si>
    <t>pedagógus szakképzettséggel nem rendelkező segítők átlagbéralapú támogatása</t>
  </si>
  <si>
    <t>1.2.</t>
  </si>
  <si>
    <t>1.3.2.1.</t>
  </si>
  <si>
    <t>1.3.2.2.</t>
  </si>
  <si>
    <t>1.3.2.3.1.</t>
  </si>
  <si>
    <t>Szociális étkeztetés - önálló feladatellátás</t>
  </si>
  <si>
    <t>1.3.2.4.1.</t>
  </si>
  <si>
    <t>Szociális segítés</t>
  </si>
  <si>
    <t>1.3.2.4.3.</t>
  </si>
  <si>
    <t>Személyi gondozás - társulás által történő feladatellátás</t>
  </si>
  <si>
    <t>1.3.2.5.</t>
  </si>
  <si>
    <t>Falugondnoki vagy tanyagondnoki szolgáltatás összesen</t>
  </si>
  <si>
    <t>1.3.2.6.1.</t>
  </si>
  <si>
    <t>Időskorúak nappali intézményi ellátása - önálló feladatellátás</t>
  </si>
  <si>
    <t>1.3.3.1.2.</t>
  </si>
  <si>
    <t>Bölcsődei dajkák, középfokú végzettségű kisgyermeknevelők, szaktanácsadók bértámogatása</t>
  </si>
  <si>
    <t>1.3.3.2.</t>
  </si>
  <si>
    <t>1.3.4.1.</t>
  </si>
  <si>
    <t>Bértámogatás</t>
  </si>
  <si>
    <t>1.3.4.2.</t>
  </si>
  <si>
    <t>Intézményüzemeltetési támogatás</t>
  </si>
  <si>
    <t>1.3.</t>
  </si>
  <si>
    <t>1.4.1.1.</t>
  </si>
  <si>
    <t>Intézményi gyermekétkeztetés - bértámogatás</t>
  </si>
  <si>
    <t>1.4.1.2.</t>
  </si>
  <si>
    <t>Intézményi gyermekétkeztetés - üzemeltetési támogatás</t>
  </si>
  <si>
    <t>1.4.2.</t>
  </si>
  <si>
    <t>Szünidei étkeztetés támogatása</t>
  </si>
  <si>
    <t>1.4.</t>
  </si>
  <si>
    <t>A települési önkormányzatok gyermekétkeztetési feladatainak támogatása</t>
  </si>
  <si>
    <t>1.5.2.</t>
  </si>
  <si>
    <t>1.5.</t>
  </si>
  <si>
    <t>BURSA Hungarica</t>
  </si>
  <si>
    <t>21/2021.(I.12.) PM hat. Tiszteletdíj</t>
  </si>
  <si>
    <t>kötelező</t>
  </si>
  <si>
    <t>Központi költségetési befizetések</t>
  </si>
  <si>
    <t>Kisbéri KÖH működési hozzájárulás Császártól</t>
  </si>
  <si>
    <t xml:space="preserve">a) A WAMK-ban alkalmazva 03.01-től  8 hóra  2 fő főállású  makettpark, </t>
  </si>
  <si>
    <t>Szent János tér híd</t>
  </si>
  <si>
    <t>&gt;</t>
  </si>
  <si>
    <t>2025.</t>
  </si>
  <si>
    <t>2025. évi ei.</t>
  </si>
  <si>
    <t>Irányítószervi támogatás Közös Önkormányzati Hivatal</t>
  </si>
  <si>
    <t>Császári Kirendeltség</t>
  </si>
  <si>
    <t>Szoc.ágazati pótlék fedezete</t>
  </si>
  <si>
    <t>Elvonások és befizetések - szolidaritási hozzájárulás</t>
  </si>
  <si>
    <t>Elvonások és befizetések - előző évi elszámolásokból eredő befizetések</t>
  </si>
  <si>
    <t>Működési célú tartalék</t>
  </si>
  <si>
    <t>konyha</t>
  </si>
  <si>
    <t>Családok Átmeneti Otthona</t>
  </si>
  <si>
    <t>szakmai</t>
  </si>
  <si>
    <t>segítők</t>
  </si>
  <si>
    <t>HIPA 2021.évi elszámolás+2022.évi várható</t>
  </si>
  <si>
    <t>Közművelődési feladatok</t>
  </si>
  <si>
    <t>Védőnői Szolgálat</t>
  </si>
  <si>
    <t>Piac felújítás</t>
  </si>
  <si>
    <t>Orvosi ügyelet</t>
  </si>
  <si>
    <t xml:space="preserve"> Ft-ban</t>
  </si>
  <si>
    <t>( kiemelt előirányzatok szerinti részletezésben )  Ft-ban</t>
  </si>
  <si>
    <t>2026.</t>
  </si>
  <si>
    <t>Műk.c.visszat.tám.megt. ÁH kívülről</t>
  </si>
  <si>
    <t>e  Ft-ban</t>
  </si>
  <si>
    <t>2026. évi ei.</t>
  </si>
  <si>
    <t>25.</t>
  </si>
  <si>
    <t>26.</t>
  </si>
  <si>
    <t>27.</t>
  </si>
  <si>
    <t>30.</t>
  </si>
  <si>
    <t>31.</t>
  </si>
  <si>
    <t>Csapadékvíz elv.</t>
  </si>
  <si>
    <t xml:space="preserve">TOP-PLUSZ-1.1.1-21-KO1-2022-00001 Piac </t>
  </si>
  <si>
    <t>ÁFA visszatérülés - ipari park+piac</t>
  </si>
  <si>
    <t>Identitás - pályázati támogtás részleges visszafizetése</t>
  </si>
  <si>
    <t>1334/2019.(VI.5.) Korm.határozathoz 2020. 2021. 2022. és 2023. évi önerő</t>
  </si>
  <si>
    <t>Császári kirendeltség</t>
  </si>
  <si>
    <t>Közterület rendjének fenntartása- munkáltatói kölcsön</t>
  </si>
  <si>
    <r>
      <t xml:space="preserve">TOP-PLUSZ-1.1.1.-21-KO1-2022-00001 </t>
    </r>
    <r>
      <rPr>
        <b/>
        <sz val="8"/>
        <rFont val="Calibri"/>
        <family val="2"/>
        <charset val="238"/>
      </rPr>
      <t>PIAC</t>
    </r>
  </si>
  <si>
    <t>Csapadékvíz elvezetés pályázat</t>
  </si>
  <si>
    <t>Ipari Park</t>
  </si>
  <si>
    <t>Fogorvosi ellátás</t>
  </si>
  <si>
    <t>Főtér működési kiad.</t>
  </si>
  <si>
    <t>Lakások fenntartása, üzemeltetése Angol kert</t>
  </si>
  <si>
    <t>Belvárosi városközpont revitalizációja pályázat 800 M Ft</t>
  </si>
  <si>
    <t>Belvárosi városközpont revitalizációja pályázat 1.270 M Ft</t>
  </si>
  <si>
    <t>Coultplay</t>
  </si>
  <si>
    <t>Csapadékvíz elvezetés</t>
  </si>
  <si>
    <t>Nyert/támogatói aláírás folyamatban</t>
  </si>
  <si>
    <t>Kisbér netó 672.428.637,- Ft)</t>
  </si>
  <si>
    <t>32.</t>
  </si>
  <si>
    <t>33.</t>
  </si>
  <si>
    <t>34.</t>
  </si>
  <si>
    <t>35.</t>
  </si>
  <si>
    <t>36.</t>
  </si>
  <si>
    <t>37.</t>
  </si>
  <si>
    <t>38.</t>
  </si>
  <si>
    <t>TOP-PLUSZ-1.2.1-21-KO1-2022-00012 csapadékvíz elvez.fejl.</t>
  </si>
  <si>
    <t>Főtér Projekt 1.270 M Ft</t>
  </si>
  <si>
    <t>Főtér Projekt 800 M Ft</t>
  </si>
  <si>
    <t>Energetikai beruházások</t>
  </si>
  <si>
    <t>Wamk légcserélő felújítás</t>
  </si>
  <si>
    <t>Batthyány tér 4/D tulajdonarányos felújítás</t>
  </si>
  <si>
    <t>Cultplay - pályázati támogatásból visszafizetendő</t>
  </si>
  <si>
    <t>Csapadék elvezetés fejlesztése</t>
  </si>
  <si>
    <t>Piac felújítása</t>
  </si>
  <si>
    <t>Babaköszöntő csomag</t>
  </si>
  <si>
    <t>BURSA HUNGARCIA - átadott pénzeszköz ÁH-on belülre</t>
  </si>
  <si>
    <t>2024. évi eredeti terv</t>
  </si>
  <si>
    <t>Kisbér Város Önkormányzata és az általa irányított költségvetési szervek 2024. évi bevételei forrásonként ( Ft-ban)</t>
  </si>
  <si>
    <t>Kisbér Város Önkormányzata és az általa irányított költségvetési szervek 2024. évi kiadásai</t>
  </si>
  <si>
    <t>Kisbér Város Önkományzata egyes 2024. évi bevételeinek és kiadásainak részletezése</t>
  </si>
  <si>
    <t>Kisbér Város Önkormányzata 2024. évi közgazdasági mérlege ( Ft-ban)</t>
  </si>
  <si>
    <t xml:space="preserve">2024. évi eredeti ei. </t>
  </si>
  <si>
    <t>Kisbér Város Önkormányzata 2024. évi működési célú bevételek és kiadások mérlege (e Ft-ban)</t>
  </si>
  <si>
    <t>Kisbér Város Önkormányzata 2024. évi felhalmozási célú bevételek és kiadások mérlege (e Ft-ban)</t>
  </si>
  <si>
    <t>Kisbér Város Önkormányzat 2024. évi bevételei feladatonkénti és bevételi forrásonkénti bontásban ( Ft-ban )</t>
  </si>
  <si>
    <t>Kisbér Város Önkormányzat 2024. évi kiadásai feladatok és kiemelt előirányzatok szerinti bontásban ( Ft-ban)</t>
  </si>
  <si>
    <t>Kisbéri Közös Önkormányzati Hivatal 2024. évi bevételei feladatonkénti és bevételi forrásonkénti bontásban ( Ft-ban )</t>
  </si>
  <si>
    <t>PH Informatikai eszközök beszerzése</t>
  </si>
  <si>
    <t>PH Kisértékű gép, berendezés</t>
  </si>
  <si>
    <t>Kisbér Város Önkormányzata irányítása alá tartozó önállóan működő intézmények 2024. évi bevételei feladatonkénti és bevételi forrásonkénti bontásban ( Ft-ban )</t>
  </si>
  <si>
    <t>Kisbér Város Önkormányzata irányítása alá tartozó önállóan működő intézmények 2024. évi kiadásai feladatok és kiemelt előirányzatok szerinti bontásban ( Ft-ban )</t>
  </si>
  <si>
    <t>OVI Kisértékű eszközök - fektetőcsere, egyéb</t>
  </si>
  <si>
    <t>OVI Laptopok csoportokba 8 db (e-napló miatt)</t>
  </si>
  <si>
    <t>WAMK kisértékű eszközök</t>
  </si>
  <si>
    <t>VIG telephely tolókapu</t>
  </si>
  <si>
    <t>Virágládák</t>
  </si>
  <si>
    <t>VIG 5 db Jászberényi tip. Szemétgyűjtő</t>
  </si>
  <si>
    <t>VIG Szakipari kisgépek</t>
  </si>
  <si>
    <t>VIG Kisértékű pl mikro</t>
  </si>
  <si>
    <t>VIG önjáró fűnyíró</t>
  </si>
  <si>
    <t>VIG Konyha Ipari húsdaráló</t>
  </si>
  <si>
    <t>VIG Konyha Mosó-szárítógép</t>
  </si>
  <si>
    <t>targonca felújítása</t>
  </si>
  <si>
    <t xml:space="preserve">Belvárosi Városközpont Főtér 2024.évi ktg.tv. 3.sz.melléklet </t>
  </si>
  <si>
    <t>RNÖ műk.támog elszám. Visszafiz. Köt (2019-2023)</t>
  </si>
  <si>
    <t>Élet az állatoknak Egyesület támogatása (ebketrec) - havi 15 e Ft</t>
  </si>
  <si>
    <t>26/2024 hat. Kiadvány megjelenés támogatása - Napvilág Kiadó kft ÁHK</t>
  </si>
  <si>
    <t>19/2024 hat 2024. év Roma nap megrendezése</t>
  </si>
  <si>
    <t xml:space="preserve">Piac kialakítás FAD </t>
  </si>
  <si>
    <t>Piac kialakítás -műszaki ellenőr</t>
  </si>
  <si>
    <t>Iparterület fejlesztése- -vízjogi engedély tervdoksi, közvil.fogyasztásmérő kiépítés</t>
  </si>
  <si>
    <t>Energetikai beruházások - Vita-Sütő részvény ért-ból</t>
  </si>
  <si>
    <t>Zöldinfrastruktúra fejlesztés - Angolkert - építés, projektelőkészítés, átalány</t>
  </si>
  <si>
    <t>Kiállítóterem paravánrendszer, sínrendszer WAMK</t>
  </si>
  <si>
    <t>Piac - fém asztalok FAD</t>
  </si>
  <si>
    <t>Kombinált hálótartó állvány gurítható -  röplabda, tenisz</t>
  </si>
  <si>
    <t>Tárgylószékek 20 db, új szemetesek - sportcs</t>
  </si>
  <si>
    <t>Felső-temető kerítésépítés (950 e), 2 db urnafal (1000 e), közkutak cseréje (350 e),</t>
  </si>
  <si>
    <t>Közlekedési táblák</t>
  </si>
  <si>
    <t>16/2024 hat emléktábla - régi törzsmén istálló falára</t>
  </si>
  <si>
    <t>17/2024 Lotz Károly Ménes című alkotás digitális kép nyomtatása, keretezése</t>
  </si>
  <si>
    <t>Sissy sziget mellett lévő híd közvilágítás kialakítása</t>
  </si>
  <si>
    <t>Mobil-biztonsági villanyvételezési szekrények kialakítása</t>
  </si>
  <si>
    <t>Kisértékű informatikai eszközök</t>
  </si>
  <si>
    <t>39.</t>
  </si>
  <si>
    <t>VIG épületfelújítás - öltöző és szociális blokk fú, fűtési rendszer korszerűsítése</t>
  </si>
  <si>
    <t>Szent János tér Híd felújítás</t>
  </si>
  <si>
    <t>WAMK fűtésfelújítás</t>
  </si>
  <si>
    <t>WAMK kamaraterem parkettázás</t>
  </si>
  <si>
    <t>WAMK - légcserelő berendezés zárlatos alkatrész miatti fú</t>
  </si>
  <si>
    <t>Csatorna hálózat beruházás ÉDV Zrt. (2021-ről áthúzódó összeg 98.133.606,-Ft - 2021. évi fú 15.701.006,- Ft + 2021. 28.553.690,- Ft ) = 110.986.290,- Ft+10.000.000,- Ft; 2023 kiszla 29.838.245,-Ft</t>
  </si>
  <si>
    <t>319/2023. Kt hat. - Petőfi utca járdafelújítás és egyéb(51,5 M)</t>
  </si>
  <si>
    <t>Batthyány tér 4/D társasház tulajdonrész arányos fú 291/2021</t>
  </si>
  <si>
    <t>Őszi Napfény Idősek Otthona - "B" épület felvonó csere</t>
  </si>
  <si>
    <t>Őszi Napfény Idősek Otthona - "A" épület akadálymentesítése</t>
  </si>
  <si>
    <t>Őszi Napfény Idősek Otthona - "A" épület emeleti férfi fürdő felújítás - járólapozás, csempézés, ablakcsere</t>
  </si>
  <si>
    <t>Őszi Napfény Idősek Otthona - vizesblokk felújítás</t>
  </si>
  <si>
    <t>Őszi Napfény Idősek Otthona - konyha húsfeldolgozó helyiség kial.</t>
  </si>
  <si>
    <t>Őszi Napfény Idősek Otthona - konyha felújítás - járólapcsere</t>
  </si>
  <si>
    <t>Családok Átmeneti Otthona - tetőcsere - pályázathoz önerő ?</t>
  </si>
  <si>
    <t>Őszi Napfény Idősek Otthona - tetőcsere - azbeszt hullámpalás a tető most</t>
  </si>
  <si>
    <t>Elektromos hálózat felújítása</t>
  </si>
  <si>
    <t>Óvoda parkettacsere - 3 csoportba (Kisbér 2, Hánta 1)</t>
  </si>
  <si>
    <t>Főtér - felújítás, műszaki ellenőr, tervezés - 400 milliós - FAD-os</t>
  </si>
  <si>
    <t xml:space="preserve">Főtér - felújítás, műszaki ellenőr, tervezés - 1,5769 Mrd </t>
  </si>
  <si>
    <t>Főtér - felújítás, műszaki ellenőr, tervezés - 1,27 Mrd - felújítás FAD-os</t>
  </si>
  <si>
    <t>Lakásfelújítások (bérlakások 5M, Eslohe-i ház 5 M)</t>
  </si>
  <si>
    <t>Energetikai korszerűsítés (építés, projektelőkészítés, átalány</t>
  </si>
  <si>
    <t>Közösségi fejlesztés pályázat - WAMK - épületfelújítás, projektek. Átalány</t>
  </si>
  <si>
    <t>Lovarda felújítás - visszapótlásból (340/2022 hat tűzjelző kp csere 2.5344,031,-Ft)</t>
  </si>
  <si>
    <t>Országos Pályafelújítási Program pályázati önerő biztosítása 102/2023</t>
  </si>
  <si>
    <t>Temetők belső járdák javítása, urnafalak előtt térkövezés, vízvételi helyek kial.</t>
  </si>
  <si>
    <t>melléklet a …/2024. (.  .) önkormányzati rendelethez</t>
  </si>
  <si>
    <t>védőnői szolgálat</t>
  </si>
  <si>
    <t>Előző évi  maradvány</t>
  </si>
  <si>
    <t>Főtér 2024. évi Ktg.tv. Szerinti támogatás</t>
  </si>
  <si>
    <t>Család és gyermekjóléti Központ</t>
  </si>
  <si>
    <t>Energetikai korszerűsítési pályázat</t>
  </si>
  <si>
    <t>Közösségi és zöldinfrastruktúra fejl.</t>
  </si>
  <si>
    <t>Belvárosi városközpont revitalizációja 2024.évi ktg.tv.</t>
  </si>
  <si>
    <t>Kisbér Város Önkormányzata 2024. évi tartalékai  Ft-ban</t>
  </si>
  <si>
    <t xml:space="preserve">Kisbér Város Önkormányzata 2024. évi </t>
  </si>
  <si>
    <t>ÖNIO Mobilgarázs 2 db</t>
  </si>
  <si>
    <t>ÖNIO 2 db tálalókocsi</t>
  </si>
  <si>
    <t>ÖNIO Ipari mosógép, ipari szárítógép</t>
  </si>
  <si>
    <t>ÖNIO Betegágyak - 15 db, heverők 5 db, karosszék, fotelek 50 db</t>
  </si>
  <si>
    <t>ÖNIO Kerti bútor garnitúra 4 db asztal, 24 db szék</t>
  </si>
  <si>
    <t>ÖNIO Étkező előtti várakozó helyiségbe 20 db szék</t>
  </si>
  <si>
    <t>ÖNIO 50-50 db párna, paplan -  paplan+párna netó 25 e Ft/db</t>
  </si>
  <si>
    <t>ÖNIO 50 db etetőasztalos éjjeliszekrény</t>
  </si>
  <si>
    <t>ÖNIO ebédlőbe asztalok 11 db és székek 44 db cseréje</t>
  </si>
  <si>
    <t>Időskorúak tartós bentlakásos ellátása - konyha-lakók</t>
  </si>
  <si>
    <t>Időskorúak tartós bentlakásos ellátása - konyha -dolgozók</t>
  </si>
  <si>
    <t>Időskorúak tartós bentlakásos ellátása - konyha -külsős</t>
  </si>
  <si>
    <t>Kisbér Város Önkormányzata által foglalkoztatottak létszámának alakulása 2024. évben</t>
  </si>
  <si>
    <t>Álláshelyek száma (2024. jan. 1.) Egész álláshelyben számítva</t>
  </si>
  <si>
    <t>2027.</t>
  </si>
  <si>
    <t>b) Közfoglalkoztatott 7 fő 2024. 02.29-ig,  átlaglétszám 1 fő, március 1-től újabb program  7 fő,éves eng. átlag 7 fő</t>
  </si>
  <si>
    <t>Közterület használati díjak</t>
  </si>
  <si>
    <t>Kisbér Város 2024. évi költségvetésében többéves kihatással járó feladatok</t>
  </si>
  <si>
    <t>Kisbér Város Önkormányzata beruházási kiadásai feladatonként (ÁFA-val) 2024. évre  Ft-ban</t>
  </si>
  <si>
    <t>Kisbér Város Önkormányzata felújítási kiadásai célonként (ÁFA-val) 2024. évre  Ft-ban</t>
  </si>
  <si>
    <t>Kisbér Város Önkormányzata 2024. évi költségvetési hiánya</t>
  </si>
  <si>
    <t>Kisbér Város Önkormányzata 2024. évi költségvetési egyenlegeinek bemutatása</t>
  </si>
  <si>
    <t>Kisbér Város  Önkormányzata által 2024. évben biztosítandó kedvezmények</t>
  </si>
  <si>
    <t>Kisbér Város Önkormányzata 2024-2027. évi bevételeinek</t>
  </si>
  <si>
    <t>2027. évi ei.</t>
  </si>
  <si>
    <t xml:space="preserve">Kisbér Város Önkormányzata 2024. évi előirányzatfelhasználási és likviditási ütemterve </t>
  </si>
  <si>
    <t xml:space="preserve">Kisbér Város Önkormányzata 2024. évi központi forrásból származó bevételeinek jogcímenkénti alakulása </t>
  </si>
  <si>
    <t xml:space="preserve">Jogcím megnevezése  </t>
  </si>
  <si>
    <t>1.1.1.1. Info 1</t>
  </si>
  <si>
    <t>1.1.1.1. Info 1
 Önkormányzati hivatal működésének támogatása - elismert hivatali létszám alapján</t>
  </si>
  <si>
    <t>1.1.1.1. Info 2</t>
  </si>
  <si>
    <t xml:space="preserve">1.1.1.1. Info 2
1.1.1.1. - Info 1 összegből az önkormányzatra jutó lakosságarányos támogatás
</t>
  </si>
  <si>
    <t xml:space="preserve">1.1.1.1.  Önkormányzati hivatal működésének támogatása (székhelynél)
</t>
  </si>
  <si>
    <t>1.1.1.3.1.</t>
  </si>
  <si>
    <t>Településüzemeltetés - közvilágítás alaptámogatása</t>
  </si>
  <si>
    <t>1.1.1.3.2.</t>
  </si>
  <si>
    <t>Településüzemeltetés - közvilágítás üzemeltetési támogatása</t>
  </si>
  <si>
    <t>1.1.1.7. Lakott külterülettel kapcsolatos feladatok támogatása</t>
  </si>
  <si>
    <t>1.3.2.2.2.</t>
  </si>
  <si>
    <t>Család- és gyermekjóléti központ - óvodai és iskolai szociális segítő tevékenység támogatása</t>
  </si>
  <si>
    <t>A települési önkormányzatok egyes szociális és gyermekjóléti feladatainak támogatása</t>
  </si>
  <si>
    <t>Települési önkormányzatok egyes kulturális feladatainak támogatása</t>
  </si>
  <si>
    <t>Önkormányzati szolidaritási hozzájárulás</t>
  </si>
  <si>
    <t>Kulturális 20 % bérfejlesztésből eredő támogatás</t>
  </si>
  <si>
    <t>2023. évi megelőlegezés</t>
  </si>
  <si>
    <t>Kisbér Város Önkormányzatának 2024. évi maradvány igénybevétele cél szerinti tagolásban ( Ft-ban)</t>
  </si>
  <si>
    <t>Energetikai korszerűsítés Kisbéren TOP-PLUSZ-2.1.1-21-K-2022-00007</t>
  </si>
  <si>
    <t xml:space="preserve">VP6-7.2.1-7.4.1.3-17 Piac </t>
  </si>
  <si>
    <t>1334/2019.(VI.5.) Korm.határozathoz önerő céltartalék</t>
  </si>
  <si>
    <t>Közösségi és zöldinfrastruktúra fejl. TOP-PLUSZ-1.2.1-21-KO1-2022-00068</t>
  </si>
  <si>
    <t>VIG épület felújítás</t>
  </si>
  <si>
    <t>Wamk fűtés felújítás</t>
  </si>
  <si>
    <t>Wamk kamaraterem parkettázás</t>
  </si>
  <si>
    <t>Petőfi utcai járda és útfelújítások</t>
  </si>
  <si>
    <t>Családok Átmeneti Otthona - tetőcsere - pályázathoz önerő</t>
  </si>
  <si>
    <t>2023. dec-i szállítói kötelezettség</t>
  </si>
  <si>
    <t>2023. évi állami támogatás elsz.</t>
  </si>
  <si>
    <t xml:space="preserve">2024. évi kiadásokra </t>
  </si>
  <si>
    <t>Energetikai korszerűsítés Kisbéren</t>
  </si>
  <si>
    <t>Közösségi és zöldinfrastruktúra fejlesztése</t>
  </si>
  <si>
    <t>Közösségi és zöldinfrastruktúra fejlesztése Kisbéren</t>
  </si>
  <si>
    <t>TOP-PLUSZ-1.2.1-21-KO-2022-00012</t>
  </si>
  <si>
    <t>TOP-PLUSZ-1.2.1-21-KO-2022-00068</t>
  </si>
  <si>
    <t>TOP-PLUSZ-1.2.1-21-KO-2022-00007</t>
  </si>
  <si>
    <t xml:space="preserve">Csapadékvíz elvezetésének fejlesztése </t>
  </si>
  <si>
    <t xml:space="preserve">TOP-PLUSZ-1.1.1-21-KO1-2022-00001 </t>
  </si>
  <si>
    <t>Szociális és külsös étkeztetés</t>
  </si>
  <si>
    <t>2024. évi módosított terv</t>
  </si>
  <si>
    <t xml:space="preserve">2024. évi módosított ei. </t>
  </si>
  <si>
    <t>Garantált bérminimum változás miatti támogatás</t>
  </si>
  <si>
    <t>Egészségügyi pótlék</t>
  </si>
  <si>
    <t>Szociális ágazati pótlék</t>
  </si>
  <si>
    <t>1.3.2.6.2.</t>
  </si>
  <si>
    <t>Időskorúak nappali intézményi ellátása - társulás által történő feladatellátás</t>
  </si>
  <si>
    <t xml:space="preserve">A szomszédos országban fennálló humanitárius katasztrófára tekintettel érkező személyek elhelyezésének támog-ról és az azzal kapcs.egyéb int.szóló 104/2022. (III. 12.) Korm.rend.szerinti támogatás </t>
  </si>
  <si>
    <t>Működési célú és kiegészítő támogatások</t>
  </si>
  <si>
    <t>Nyári diákmunka támogatása</t>
  </si>
  <si>
    <t xml:space="preserve">203/2024 hat. Kiút a pokolból c.könyv megjelenés támogatása </t>
  </si>
  <si>
    <t>Pályázati előleg visszafizetés- Piac pályázat</t>
  </si>
  <si>
    <t>Konzorciumi szerződés módosítás miatt - Energetika pályázat</t>
  </si>
  <si>
    <t xml:space="preserve">MLSZ pályázat 10%-os önerő </t>
  </si>
  <si>
    <t>Településszerkezeti terv mód.</t>
  </si>
  <si>
    <t xml:space="preserve">Közfoglalkoztatási program - tárgyi eszközök beszerzése (aljnövényzet tisztító, locsolóállvány, tömlő) </t>
  </si>
  <si>
    <t>Térfigyelő kamera - Hánta - 124/2024</t>
  </si>
  <si>
    <t>Urnafal 2 db 6 fülkés 166/2024</t>
  </si>
  <si>
    <t>Térfigyelő kamerák kihelyezése 2 db - 168/2024</t>
  </si>
  <si>
    <t>40.</t>
  </si>
  <si>
    <t>41.</t>
  </si>
  <si>
    <t>42.</t>
  </si>
  <si>
    <t>43.</t>
  </si>
  <si>
    <t>Csapadékvízelvez. Fejlesztése - felújítás, átalánydíj; 120/2024 önerő 7.415.467,-Ft</t>
  </si>
  <si>
    <t>Makettpark - vízellátó szivattyú jav.</t>
  </si>
  <si>
    <t>EPON/MEPON választás 2024.06.09. normatíva</t>
  </si>
  <si>
    <t>44.</t>
  </si>
  <si>
    <t>Választási fülkék - Császári Kirendeltség</t>
  </si>
  <si>
    <t>ŐNIO konyhai eszközök felújítása</t>
  </si>
  <si>
    <t>Álláshelyek száma (2024. júl. 1.) Egész álláshelyben számítva</t>
  </si>
  <si>
    <t>c) 7 fő diákmunkás 6 órás foglalkoztatás 10 nap</t>
  </si>
  <si>
    <t>EPON/MEPON választás 2024.06.09.</t>
  </si>
  <si>
    <t>Menekültek ellátása</t>
  </si>
  <si>
    <t>Ipari park fenntartás</t>
  </si>
  <si>
    <t>Óvodai, bölcsődei működés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</si>
</sst>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 ;[Red]\-#,##0\ "/>
    <numFmt numFmtId="166" formatCode="#,##0.0"/>
    <numFmt numFmtId="167" formatCode="0.000"/>
  </numFmts>
  <fonts count="80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sz val="10"/>
      <color indexed="22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9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u/>
      <sz val="9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Antique Olive"/>
      <family val="2"/>
      <charset val="238"/>
    </font>
    <font>
      <sz val="10"/>
      <name val="Times New Roman"/>
      <family val="1"/>
      <charset val="238"/>
    </font>
    <font>
      <sz val="8"/>
      <color indexed="8"/>
      <name val="Antique Olive"/>
      <charset val="238"/>
    </font>
    <font>
      <b/>
      <sz val="8"/>
      <color indexed="8"/>
      <name val="Antique Olive"/>
      <charset val="238"/>
    </font>
    <font>
      <sz val="10"/>
      <color indexed="8"/>
      <name val="Arial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name val="Arial CE"/>
      <family val="2"/>
      <charset val="238"/>
    </font>
    <font>
      <sz val="8"/>
      <color indexed="9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22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b/>
      <sz val="9"/>
      <color indexed="22"/>
      <name val="Calibri"/>
      <family val="2"/>
      <charset val="238"/>
    </font>
    <font>
      <b/>
      <i/>
      <sz val="8"/>
      <color indexed="8"/>
      <name val="Antique Oliv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6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9">
    <xf numFmtId="0" fontId="0" fillId="0" borderId="0"/>
    <xf numFmtId="0" fontId="54" fillId="0" borderId="0"/>
    <xf numFmtId="0" fontId="5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</cellStyleXfs>
  <cellXfs count="1276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5" fillId="0" borderId="5" xfId="0" applyNumberFormat="1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/>
    </xf>
    <xf numFmtId="3" fontId="10" fillId="0" borderId="8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left" vertical="center"/>
    </xf>
    <xf numFmtId="3" fontId="14" fillId="0" borderId="8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10" fillId="0" borderId="4" xfId="0" applyNumberFormat="1" applyFont="1" applyFill="1" applyBorder="1" applyAlignment="1">
      <alignment horizontal="left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10" fillId="0" borderId="11" xfId="0" applyNumberFormat="1" applyFont="1" applyFill="1" applyBorder="1" applyAlignment="1">
      <alignment horizontal="left" vertical="center"/>
    </xf>
    <xf numFmtId="3" fontId="10" fillId="0" borderId="12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13" fillId="0" borderId="19" xfId="0" applyNumberFormat="1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left" vertical="center"/>
    </xf>
    <xf numFmtId="0" fontId="13" fillId="0" borderId="18" xfId="0" applyNumberFormat="1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>
      <alignment horizontal="left" vertical="center" wrapText="1"/>
    </xf>
    <xf numFmtId="0" fontId="13" fillId="0" borderId="20" xfId="0" applyNumberFormat="1" applyFont="1" applyFill="1" applyBorder="1" applyAlignment="1">
      <alignment horizontal="left" vertical="center" wrapText="1"/>
    </xf>
    <xf numFmtId="0" fontId="13" fillId="0" borderId="21" xfId="0" applyNumberFormat="1" applyFont="1" applyFill="1" applyBorder="1" applyAlignment="1">
      <alignment horizontal="left" vertical="center"/>
    </xf>
    <xf numFmtId="0" fontId="10" fillId="0" borderId="22" xfId="0" applyNumberFormat="1" applyFont="1" applyBorder="1" applyAlignment="1">
      <alignment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left" vertical="center"/>
    </xf>
    <xf numFmtId="3" fontId="5" fillId="0" borderId="2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horizontal="left" vertical="center"/>
    </xf>
    <xf numFmtId="3" fontId="16" fillId="0" borderId="0" xfId="0" applyNumberFormat="1" applyFont="1" applyBorder="1" applyAlignment="1">
      <alignment vertical="center" wrapText="1"/>
    </xf>
    <xf numFmtId="0" fontId="4" fillId="0" borderId="0" xfId="0" applyFont="1"/>
    <xf numFmtId="0" fontId="1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27" xfId="0" applyFont="1" applyBorder="1"/>
    <xf numFmtId="0" fontId="17" fillId="0" borderId="0" xfId="3" applyFont="1" applyFill="1"/>
    <xf numFmtId="0" fontId="18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7" fillId="0" borderId="0" xfId="3" applyFont="1" applyFill="1" applyAlignment="1">
      <alignment horizontal="center"/>
    </xf>
    <xf numFmtId="3" fontId="18" fillId="0" borderId="0" xfId="3" applyNumberFormat="1" applyFont="1" applyFill="1" applyAlignment="1">
      <alignment horizontal="right"/>
    </xf>
    <xf numFmtId="0" fontId="8" fillId="0" borderId="0" xfId="6" applyFont="1" applyBorder="1" applyAlignment="1"/>
    <xf numFmtId="0" fontId="4" fillId="0" borderId="0" xfId="7" applyFont="1"/>
    <xf numFmtId="0" fontId="21" fillId="0" borderId="0" xfId="7" applyFont="1"/>
    <xf numFmtId="0" fontId="8" fillId="0" borderId="0" xfId="7" applyFont="1"/>
    <xf numFmtId="0" fontId="23" fillId="0" borderId="28" xfId="8" applyFont="1" applyBorder="1" applyAlignment="1"/>
    <xf numFmtId="0" fontId="22" fillId="0" borderId="28" xfId="8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3" fillId="0" borderId="20" xfId="8" applyFont="1" applyBorder="1"/>
    <xf numFmtId="0" fontId="10" fillId="0" borderId="0" xfId="0" applyFont="1" applyBorder="1" applyAlignment="1">
      <alignment horizontal="center"/>
    </xf>
    <xf numFmtId="0" fontId="22" fillId="0" borderId="28" xfId="8" applyFont="1" applyBorder="1" applyAlignment="1"/>
    <xf numFmtId="0" fontId="12" fillId="0" borderId="0" xfId="0" applyFont="1"/>
    <xf numFmtId="0" fontId="10" fillId="0" borderId="29" xfId="0" applyFont="1" applyBorder="1" applyAlignment="1">
      <alignment horizontal="center"/>
    </xf>
    <xf numFmtId="3" fontId="10" fillId="0" borderId="29" xfId="0" applyNumberFormat="1" applyFont="1" applyBorder="1"/>
    <xf numFmtId="3" fontId="10" fillId="0" borderId="30" xfId="0" applyNumberFormat="1" applyFont="1" applyBorder="1" applyAlignment="1">
      <alignment horizontal="right"/>
    </xf>
    <xf numFmtId="3" fontId="10" fillId="0" borderId="31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1" fillId="0" borderId="29" xfId="0" applyFont="1" applyFill="1" applyBorder="1" applyAlignment="1"/>
    <xf numFmtId="0" fontId="11" fillId="0" borderId="27" xfId="0" applyFont="1" applyFill="1" applyBorder="1"/>
    <xf numFmtId="3" fontId="17" fillId="0" borderId="0" xfId="3" applyNumberFormat="1" applyFont="1" applyFill="1" applyAlignment="1">
      <alignment horizontal="right"/>
    </xf>
    <xf numFmtId="0" fontId="22" fillId="0" borderId="20" xfId="8" applyFont="1" applyBorder="1"/>
    <xf numFmtId="3" fontId="5" fillId="0" borderId="0" xfId="0" applyNumberFormat="1" applyFont="1" applyAlignment="1">
      <alignment horizontal="center" vertical="center"/>
    </xf>
    <xf numFmtId="3" fontId="5" fillId="0" borderId="32" xfId="0" applyNumberFormat="1" applyFont="1" applyFill="1" applyBorder="1" applyAlignment="1">
      <alignment horizontal="left" vertical="center"/>
    </xf>
    <xf numFmtId="0" fontId="17" fillId="0" borderId="0" xfId="0" applyFont="1"/>
    <xf numFmtId="3" fontId="3" fillId="0" borderId="33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" fillId="0" borderId="0" xfId="0" applyFont="1"/>
    <xf numFmtId="3" fontId="5" fillId="0" borderId="42" xfId="0" applyNumberFormat="1" applyFont="1" applyFill="1" applyBorder="1" applyAlignment="1">
      <alignment horizontal="left" vertical="center"/>
    </xf>
    <xf numFmtId="3" fontId="16" fillId="0" borderId="43" xfId="0" applyNumberFormat="1" applyFont="1" applyFill="1" applyBorder="1" applyAlignment="1">
      <alignment horizontal="left" vertical="center"/>
    </xf>
    <xf numFmtId="3" fontId="5" fillId="0" borderId="44" xfId="0" applyNumberFormat="1" applyFont="1" applyFill="1" applyBorder="1" applyAlignment="1">
      <alignment horizontal="left" vertical="center"/>
    </xf>
    <xf numFmtId="3" fontId="5" fillId="0" borderId="45" xfId="0" applyNumberFormat="1" applyFont="1" applyFill="1" applyBorder="1" applyAlignment="1">
      <alignment horizontal="left" vertical="center"/>
    </xf>
    <xf numFmtId="3" fontId="5" fillId="0" borderId="46" xfId="0" applyNumberFormat="1" applyFont="1" applyFill="1" applyBorder="1" applyAlignment="1">
      <alignment horizontal="left" vertical="center"/>
    </xf>
    <xf numFmtId="3" fontId="10" fillId="0" borderId="47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right"/>
    </xf>
    <xf numFmtId="0" fontId="5" fillId="0" borderId="2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/>
    </xf>
    <xf numFmtId="0" fontId="10" fillId="0" borderId="2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50" xfId="0" applyFont="1" applyFill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3" fontId="5" fillId="0" borderId="18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3" fontId="56" fillId="0" borderId="0" xfId="0" applyNumberFormat="1" applyFont="1" applyAlignment="1">
      <alignment vertical="center"/>
    </xf>
    <xf numFmtId="0" fontId="56" fillId="0" borderId="0" xfId="0" applyFont="1"/>
    <xf numFmtId="0" fontId="56" fillId="0" borderId="29" xfId="0" applyFont="1" applyBorder="1" applyAlignment="1">
      <alignment horizontal="left" vertical="center" wrapText="1"/>
    </xf>
    <xf numFmtId="3" fontId="56" fillId="0" borderId="29" xfId="0" applyNumberFormat="1" applyFont="1" applyBorder="1"/>
    <xf numFmtId="164" fontId="22" fillId="0" borderId="51" xfId="8" applyNumberFormat="1" applyFont="1" applyBorder="1"/>
    <xf numFmtId="164" fontId="23" fillId="0" borderId="51" xfId="8" applyNumberFormat="1" applyFont="1" applyBorder="1"/>
    <xf numFmtId="164" fontId="11" fillId="0" borderId="0" xfId="0" applyNumberFormat="1" applyFont="1"/>
    <xf numFmtId="164" fontId="22" fillId="0" borderId="28" xfId="8" applyNumberFormat="1" applyFont="1" applyBorder="1"/>
    <xf numFmtId="164" fontId="23" fillId="0" borderId="28" xfId="8" applyNumberFormat="1" applyFont="1" applyBorder="1" applyAlignment="1">
      <alignment horizontal="right"/>
    </xf>
    <xf numFmtId="164" fontId="12" fillId="0" borderId="0" xfId="0" applyNumberFormat="1" applyFont="1"/>
    <xf numFmtId="164" fontId="25" fillId="0" borderId="0" xfId="0" applyNumberFormat="1" applyFont="1" applyFill="1"/>
    <xf numFmtId="164" fontId="0" fillId="0" borderId="0" xfId="0" applyNumberFormat="1"/>
    <xf numFmtId="164" fontId="7" fillId="0" borderId="52" xfId="0" applyNumberFormat="1" applyFont="1" applyBorder="1" applyAlignment="1">
      <alignment vertical="center"/>
    </xf>
    <xf numFmtId="164" fontId="7" fillId="0" borderId="53" xfId="0" applyNumberFormat="1" applyFont="1" applyBorder="1" applyAlignment="1">
      <alignment vertical="center"/>
    </xf>
    <xf numFmtId="164" fontId="7" fillId="0" borderId="54" xfId="0" applyNumberFormat="1" applyFont="1" applyBorder="1" applyAlignment="1">
      <alignment vertical="center"/>
    </xf>
    <xf numFmtId="164" fontId="7" fillId="0" borderId="55" xfId="0" applyNumberFormat="1" applyFont="1" applyBorder="1" applyAlignment="1">
      <alignment vertical="center"/>
    </xf>
    <xf numFmtId="164" fontId="14" fillId="0" borderId="41" xfId="0" applyNumberFormat="1" applyFont="1" applyBorder="1" applyAlignment="1">
      <alignment vertical="center"/>
    </xf>
    <xf numFmtId="164" fontId="9" fillId="0" borderId="55" xfId="0" applyNumberFormat="1" applyFont="1" applyBorder="1" applyAlignment="1">
      <alignment vertical="center"/>
    </xf>
    <xf numFmtId="164" fontId="8" fillId="0" borderId="41" xfId="0" applyNumberFormat="1" applyFont="1" applyBorder="1" applyAlignment="1">
      <alignment vertical="center"/>
    </xf>
    <xf numFmtId="164" fontId="8" fillId="0" borderId="56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10" fillId="0" borderId="29" xfId="0" applyNumberFormat="1" applyFont="1" applyBorder="1"/>
    <xf numFmtId="164" fontId="5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9" fillId="0" borderId="41" xfId="0" applyNumberFormat="1" applyFont="1" applyBorder="1" applyAlignment="1">
      <alignment vertical="center"/>
    </xf>
    <xf numFmtId="0" fontId="28" fillId="0" borderId="0" xfId="0" applyFont="1"/>
    <xf numFmtId="3" fontId="0" fillId="0" borderId="0" xfId="0" applyNumberFormat="1"/>
    <xf numFmtId="0" fontId="57" fillId="0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29" xfId="0" applyFont="1" applyBorder="1" applyAlignment="1">
      <alignment vertical="center" wrapText="1"/>
    </xf>
    <xf numFmtId="164" fontId="4" fillId="0" borderId="53" xfId="0" applyNumberFormat="1" applyFont="1" applyBorder="1" applyAlignment="1"/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8" fillId="0" borderId="57" xfId="0" applyFont="1" applyBorder="1" applyAlignment="1">
      <alignment vertical="center" wrapText="1"/>
    </xf>
    <xf numFmtId="0" fontId="4" fillId="0" borderId="59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7" fillId="0" borderId="60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59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7" fillId="0" borderId="59" xfId="0" applyFont="1" applyFill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7" fillId="0" borderId="6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horizontal="right" vertical="center"/>
    </xf>
    <xf numFmtId="3" fontId="5" fillId="0" borderId="63" xfId="0" applyNumberFormat="1" applyFont="1" applyFill="1" applyBorder="1" applyAlignment="1">
      <alignment vertical="center"/>
    </xf>
    <xf numFmtId="3" fontId="10" fillId="0" borderId="64" xfId="0" applyNumberFormat="1" applyFont="1" applyFill="1" applyBorder="1" applyAlignment="1">
      <alignment horizontal="center" vertical="center"/>
    </xf>
    <xf numFmtId="3" fontId="10" fillId="0" borderId="64" xfId="0" applyNumberFormat="1" applyFont="1" applyFill="1" applyBorder="1" applyAlignment="1">
      <alignment horizontal="right" vertical="center"/>
    </xf>
    <xf numFmtId="3" fontId="10" fillId="0" borderId="49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56" fillId="0" borderId="29" xfId="0" applyNumberFormat="1" applyFont="1" applyBorder="1" applyAlignment="1">
      <alignment horizontal="right" vertical="center" wrapText="1"/>
    </xf>
    <xf numFmtId="3" fontId="56" fillId="0" borderId="29" xfId="0" applyNumberFormat="1" applyFont="1" applyBorder="1" applyAlignment="1">
      <alignment horizontal="right" vertical="center"/>
    </xf>
    <xf numFmtId="0" fontId="58" fillId="4" borderId="0" xfId="0" applyFont="1" applyFill="1"/>
    <xf numFmtId="3" fontId="59" fillId="4" borderId="0" xfId="0" applyNumberFormat="1" applyFont="1" applyFill="1" applyAlignment="1">
      <alignment horizontal="right"/>
    </xf>
    <xf numFmtId="3" fontId="60" fillId="4" borderId="0" xfId="0" applyNumberFormat="1" applyFont="1" applyFill="1" applyAlignment="1">
      <alignment horizontal="right"/>
    </xf>
    <xf numFmtId="0" fontId="61" fillId="0" borderId="0" xfId="0" applyFont="1"/>
    <xf numFmtId="3" fontId="62" fillId="0" borderId="0" xfId="0" applyNumberFormat="1" applyFont="1" applyAlignment="1">
      <alignment horizontal="right"/>
    </xf>
    <xf numFmtId="0" fontId="63" fillId="0" borderId="0" xfId="0" applyFont="1"/>
    <xf numFmtId="0" fontId="59" fillId="0" borderId="0" xfId="0" applyFont="1"/>
    <xf numFmtId="0" fontId="59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3" fontId="60" fillId="0" borderId="0" xfId="0" applyNumberFormat="1" applyFont="1" applyAlignment="1">
      <alignment horizontal="right"/>
    </xf>
    <xf numFmtId="0" fontId="62" fillId="0" borderId="0" xfId="0" applyFont="1" applyAlignment="1">
      <alignment horizontal="left" indent="2"/>
    </xf>
    <xf numFmtId="165" fontId="62" fillId="0" borderId="0" xfId="0" applyNumberFormat="1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56" fillId="0" borderId="0" xfId="0" applyFont="1" applyAlignment="1">
      <alignment horizontal="right"/>
    </xf>
    <xf numFmtId="3" fontId="56" fillId="0" borderId="65" xfId="0" applyNumberFormat="1" applyFont="1" applyFill="1" applyBorder="1"/>
    <xf numFmtId="3" fontId="56" fillId="0" borderId="29" xfId="0" applyNumberFormat="1" applyFont="1" applyFill="1" applyBorder="1"/>
    <xf numFmtId="3" fontId="56" fillId="0" borderId="66" xfId="0" applyNumberFormat="1" applyFont="1" applyFill="1" applyBorder="1"/>
    <xf numFmtId="0" fontId="56" fillId="0" borderId="59" xfId="0" applyFont="1" applyFill="1" applyBorder="1" applyAlignment="1">
      <alignment horizontal="left" vertical="center" wrapText="1"/>
    </xf>
    <xf numFmtId="0" fontId="64" fillId="0" borderId="27" xfId="0" applyFont="1" applyFill="1" applyBorder="1"/>
    <xf numFmtId="0" fontId="65" fillId="0" borderId="27" xfId="0" applyFont="1" applyFill="1" applyBorder="1"/>
    <xf numFmtId="3" fontId="66" fillId="0" borderId="29" xfId="0" applyNumberFormat="1" applyFont="1" applyFill="1" applyBorder="1"/>
    <xf numFmtId="3" fontId="66" fillId="0" borderId="65" xfId="0" applyNumberFormat="1" applyFont="1" applyFill="1" applyBorder="1"/>
    <xf numFmtId="0" fontId="64" fillId="0" borderId="65" xfId="0" applyFont="1" applyFill="1" applyBorder="1"/>
    <xf numFmtId="0" fontId="65" fillId="0" borderId="0" xfId="0" applyFont="1" applyBorder="1" applyAlignment="1">
      <alignment vertical="center"/>
    </xf>
    <xf numFmtId="0" fontId="64" fillId="0" borderId="0" xfId="0" applyFont="1"/>
    <xf numFmtId="0" fontId="64" fillId="0" borderId="0" xfId="0" applyFont="1" applyBorder="1"/>
    <xf numFmtId="0" fontId="64" fillId="0" borderId="27" xfId="0" applyFont="1" applyBorder="1"/>
    <xf numFmtId="3" fontId="56" fillId="0" borderId="65" xfId="0" applyNumberFormat="1" applyFont="1" applyBorder="1"/>
    <xf numFmtId="0" fontId="56" fillId="0" borderId="67" xfId="0" applyFont="1" applyBorder="1" applyAlignment="1">
      <alignment vertical="center"/>
    </xf>
    <xf numFmtId="0" fontId="23" fillId="0" borderId="18" xfId="8" applyFont="1" applyBorder="1"/>
    <xf numFmtId="0" fontId="23" fillId="0" borderId="62" xfId="8" applyFont="1" applyBorder="1" applyAlignment="1"/>
    <xf numFmtId="0" fontId="23" fillId="0" borderId="68" xfId="8" applyFont="1" applyBorder="1"/>
    <xf numFmtId="0" fontId="23" fillId="0" borderId="69" xfId="8" applyFont="1" applyBorder="1" applyAlignment="1"/>
    <xf numFmtId="0" fontId="22" fillId="0" borderId="69" xfId="8" applyFont="1" applyBorder="1" applyAlignment="1">
      <alignment horizontal="left"/>
    </xf>
    <xf numFmtId="164" fontId="67" fillId="0" borderId="0" xfId="0" applyNumberFormat="1" applyFont="1" applyFill="1"/>
    <xf numFmtId="0" fontId="62" fillId="0" borderId="0" xfId="0" applyFont="1"/>
    <xf numFmtId="0" fontId="61" fillId="0" borderId="0" xfId="0" applyFont="1"/>
    <xf numFmtId="0" fontId="68" fillId="4" borderId="0" xfId="0" applyFont="1" applyFill="1"/>
    <xf numFmtId="0" fontId="22" fillId="0" borderId="70" xfId="8" applyFont="1" applyFill="1" applyBorder="1" applyAlignment="1">
      <alignment horizontal="center" vertical="center"/>
    </xf>
    <xf numFmtId="0" fontId="22" fillId="0" borderId="71" xfId="8" applyFont="1" applyFill="1" applyBorder="1" applyAlignment="1">
      <alignment horizontal="center" vertical="center"/>
    </xf>
    <xf numFmtId="0" fontId="22" fillId="0" borderId="72" xfId="8" applyFont="1" applyFill="1" applyBorder="1" applyAlignment="1">
      <alignment horizontal="center" vertical="center"/>
    </xf>
    <xf numFmtId="164" fontId="23" fillId="0" borderId="73" xfId="8" applyNumberFormat="1" applyFont="1" applyBorder="1"/>
    <xf numFmtId="164" fontId="23" fillId="0" borderId="74" xfId="8" applyNumberFormat="1" applyFont="1" applyBorder="1"/>
    <xf numFmtId="164" fontId="23" fillId="0" borderId="75" xfId="8" applyNumberFormat="1" applyFont="1" applyBorder="1"/>
    <xf numFmtId="164" fontId="23" fillId="0" borderId="76" xfId="8" applyNumberFormat="1" applyFont="1" applyBorder="1"/>
    <xf numFmtId="0" fontId="22" fillId="0" borderId="77" xfId="8" applyFont="1" applyFill="1" applyBorder="1" applyAlignment="1">
      <alignment horizontal="center" vertical="center"/>
    </xf>
    <xf numFmtId="0" fontId="22" fillId="0" borderId="78" xfId="8" applyFont="1" applyFill="1" applyBorder="1" applyAlignment="1">
      <alignment horizontal="center" vertical="center"/>
    </xf>
    <xf numFmtId="0" fontId="22" fillId="0" borderId="79" xfId="8" applyFont="1" applyFill="1" applyBorder="1" applyAlignment="1">
      <alignment horizontal="center" vertical="center"/>
    </xf>
    <xf numFmtId="0" fontId="22" fillId="0" borderId="80" xfId="8" applyFont="1" applyFill="1" applyBorder="1" applyAlignment="1">
      <alignment horizontal="center" vertical="center"/>
    </xf>
    <xf numFmtId="0" fontId="22" fillId="0" borderId="81" xfId="8" applyFont="1" applyFill="1" applyBorder="1" applyAlignment="1">
      <alignment horizontal="center" vertical="center"/>
    </xf>
    <xf numFmtId="0" fontId="22" fillId="0" borderId="82" xfId="8" applyFont="1" applyFill="1" applyBorder="1" applyAlignment="1">
      <alignment horizontal="center" vertical="center"/>
    </xf>
    <xf numFmtId="0" fontId="22" fillId="0" borderId="83" xfId="8" applyFont="1" applyFill="1" applyBorder="1" applyAlignment="1">
      <alignment horizontal="center" vertical="center"/>
    </xf>
    <xf numFmtId="0" fontId="11" fillId="0" borderId="65" xfId="0" applyFont="1" applyFill="1" applyBorder="1" applyAlignment="1"/>
    <xf numFmtId="0" fontId="22" fillId="0" borderId="84" xfId="8" applyFont="1" applyFill="1" applyBorder="1" applyAlignment="1">
      <alignment horizontal="center" vertical="center"/>
    </xf>
    <xf numFmtId="0" fontId="23" fillId="0" borderId="85" xfId="8" applyFont="1" applyBorder="1" applyAlignment="1"/>
    <xf numFmtId="0" fontId="23" fillId="0" borderId="86" xfId="8" applyFont="1" applyBorder="1" applyAlignment="1"/>
    <xf numFmtId="0" fontId="23" fillId="0" borderId="87" xfId="8" applyFont="1" applyBorder="1" applyAlignment="1"/>
    <xf numFmtId="0" fontId="22" fillId="0" borderId="87" xfId="8" applyFont="1" applyBorder="1" applyAlignment="1">
      <alignment horizontal="left"/>
    </xf>
    <xf numFmtId="3" fontId="3" fillId="0" borderId="0" xfId="0" applyNumberFormat="1" applyFont="1" applyAlignment="1">
      <alignment horizontal="right" vertical="center"/>
    </xf>
    <xf numFmtId="3" fontId="10" fillId="0" borderId="88" xfId="0" applyNumberFormat="1" applyFont="1" applyFill="1" applyBorder="1" applyAlignment="1">
      <alignment horizontal="left" vertical="center"/>
    </xf>
    <xf numFmtId="3" fontId="10" fillId="0" borderId="39" xfId="0" applyNumberFormat="1" applyFont="1" applyBorder="1" applyAlignment="1">
      <alignment horizontal="center" vertical="center"/>
    </xf>
    <xf numFmtId="0" fontId="4" fillId="0" borderId="59" xfId="0" applyFont="1" applyFill="1" applyBorder="1" applyAlignment="1">
      <alignment vertical="center"/>
    </xf>
    <xf numFmtId="3" fontId="68" fillId="0" borderId="0" xfId="0" applyNumberFormat="1" applyFont="1" applyAlignment="1">
      <alignment horizontal="right"/>
    </xf>
    <xf numFmtId="0" fontId="13" fillId="0" borderId="18" xfId="0" applyFont="1" applyFill="1" applyBorder="1" applyAlignment="1">
      <alignment horizontal="left" vertical="center" wrapText="1"/>
    </xf>
    <xf numFmtId="0" fontId="62" fillId="0" borderId="0" xfId="0" applyFont="1"/>
    <xf numFmtId="0" fontId="60" fillId="4" borderId="0" xfId="0" applyFont="1" applyFill="1" applyAlignment="1">
      <alignment wrapText="1"/>
    </xf>
    <xf numFmtId="0" fontId="60" fillId="0" borderId="0" xfId="0" applyFont="1"/>
    <xf numFmtId="0" fontId="68" fillId="0" borderId="0" xfId="0" applyFont="1"/>
    <xf numFmtId="0" fontId="62" fillId="0" borderId="0" xfId="0" applyFont="1" applyAlignment="1">
      <alignment horizontal="right"/>
    </xf>
    <xf numFmtId="0" fontId="59" fillId="4" borderId="0" xfId="0" applyFont="1" applyFill="1"/>
    <xf numFmtId="0" fontId="23" fillId="0" borderId="17" xfId="8" applyFont="1" applyBorder="1"/>
    <xf numFmtId="0" fontId="4" fillId="0" borderId="60" xfId="0" applyFont="1" applyBorder="1" applyAlignment="1">
      <alignment vertical="center"/>
    </xf>
    <xf numFmtId="164" fontId="4" fillId="0" borderId="29" xfId="0" applyNumberFormat="1" applyFont="1" applyBorder="1" applyAlignment="1">
      <alignment vertical="center"/>
    </xf>
    <xf numFmtId="164" fontId="4" fillId="0" borderId="66" xfId="0" applyNumberFormat="1" applyFont="1" applyBorder="1" applyAlignment="1">
      <alignment vertical="center"/>
    </xf>
    <xf numFmtId="0" fontId="13" fillId="0" borderId="31" xfId="0" applyFont="1" applyFill="1" applyBorder="1" applyAlignment="1">
      <alignment horizontal="left" indent="1"/>
    </xf>
    <xf numFmtId="0" fontId="56" fillId="0" borderId="29" xfId="0" applyFont="1" applyFill="1" applyBorder="1" applyAlignment="1">
      <alignment horizontal="left" vertical="center" wrapText="1"/>
    </xf>
    <xf numFmtId="0" fontId="56" fillId="0" borderId="29" xfId="0" applyFont="1" applyFill="1" applyBorder="1" applyAlignment="1">
      <alignment vertical="center" wrapText="1"/>
    </xf>
    <xf numFmtId="3" fontId="56" fillId="0" borderId="29" xfId="0" applyNumberFormat="1" applyFont="1" applyFill="1" applyBorder="1" applyAlignment="1">
      <alignment horizontal="right" vertical="center" wrapText="1"/>
    </xf>
    <xf numFmtId="0" fontId="56" fillId="0" borderId="0" xfId="0" applyFont="1" applyFill="1" applyAlignment="1">
      <alignment vertical="center"/>
    </xf>
    <xf numFmtId="0" fontId="67" fillId="0" borderId="29" xfId="0" applyFont="1" applyFill="1" applyBorder="1" applyAlignment="1">
      <alignment horizontal="left" vertical="center" wrapText="1"/>
    </xf>
    <xf numFmtId="164" fontId="4" fillId="0" borderId="89" xfId="0" applyNumberFormat="1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164" fontId="4" fillId="0" borderId="9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29" fillId="0" borderId="0" xfId="0" applyFont="1" applyAlignment="1">
      <alignment horizontal="right"/>
    </xf>
    <xf numFmtId="0" fontId="30" fillId="0" borderId="0" xfId="0" applyFont="1"/>
    <xf numFmtId="0" fontId="29" fillId="0" borderId="0" xfId="0" applyFont="1"/>
    <xf numFmtId="0" fontId="32" fillId="0" borderId="0" xfId="0" applyFont="1" applyAlignment="1">
      <alignment horizontal="center"/>
    </xf>
    <xf numFmtId="0" fontId="29" fillId="0" borderId="9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92" xfId="0" applyFont="1" applyBorder="1" applyAlignment="1">
      <alignment vertical="center"/>
    </xf>
    <xf numFmtId="0" fontId="29" fillId="0" borderId="93" xfId="0" applyFont="1" applyBorder="1" applyAlignment="1">
      <alignment vertical="center"/>
    </xf>
    <xf numFmtId="0" fontId="32" fillId="0" borderId="9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29" fillId="0" borderId="94" xfId="0" applyFont="1" applyBorder="1" applyAlignment="1">
      <alignment vertical="center"/>
    </xf>
    <xf numFmtId="0" fontId="32" fillId="0" borderId="37" xfId="0" applyFont="1" applyBorder="1" applyAlignment="1">
      <alignment vertical="center"/>
    </xf>
    <xf numFmtId="0" fontId="32" fillId="0" borderId="91" xfId="0" applyFont="1" applyFill="1" applyBorder="1" applyAlignment="1">
      <alignment horizontal="left" vertical="center"/>
    </xf>
    <xf numFmtId="0" fontId="32" fillId="2" borderId="95" xfId="0" applyFont="1" applyFill="1" applyBorder="1" applyAlignment="1">
      <alignment horizontal="left" vertical="center"/>
    </xf>
    <xf numFmtId="0" fontId="32" fillId="5" borderId="91" xfId="0" applyFont="1" applyFill="1" applyBorder="1" applyAlignment="1">
      <alignment vertical="center"/>
    </xf>
    <xf numFmtId="0" fontId="32" fillId="6" borderId="91" xfId="0" applyFont="1" applyFill="1" applyBorder="1" applyAlignment="1">
      <alignment vertical="center"/>
    </xf>
    <xf numFmtId="164" fontId="30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/>
    <xf numFmtId="0" fontId="40" fillId="0" borderId="0" xfId="0" applyFont="1"/>
    <xf numFmtId="0" fontId="36" fillId="0" borderId="0" xfId="0" applyFont="1" applyBorder="1"/>
    <xf numFmtId="0" fontId="38" fillId="0" borderId="29" xfId="0" applyFont="1" applyBorder="1" applyAlignment="1">
      <alignment horizontal="left"/>
    </xf>
    <xf numFmtId="0" fontId="41" fillId="0" borderId="29" xfId="0" applyFont="1" applyBorder="1" applyAlignment="1">
      <alignment vertical="center"/>
    </xf>
    <xf numFmtId="164" fontId="4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164" fontId="36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3" fontId="43" fillId="0" borderId="0" xfId="0" applyNumberFormat="1" applyFont="1" applyAlignment="1">
      <alignment vertical="center"/>
    </xf>
    <xf numFmtId="3" fontId="43" fillId="0" borderId="0" xfId="0" applyNumberFormat="1" applyFont="1" applyAlignment="1">
      <alignment horizontal="right" vertical="center"/>
    </xf>
    <xf numFmtId="164" fontId="43" fillId="0" borderId="0" xfId="0" applyNumberFormat="1" applyFont="1" applyAlignment="1">
      <alignment vertical="center"/>
    </xf>
    <xf numFmtId="3" fontId="45" fillId="0" borderId="0" xfId="0" applyNumberFormat="1" applyFont="1" applyAlignment="1">
      <alignment vertical="center"/>
    </xf>
    <xf numFmtId="3" fontId="46" fillId="0" borderId="4" xfId="0" applyNumberFormat="1" applyFont="1" applyFill="1" applyBorder="1" applyAlignment="1">
      <alignment horizontal="left" vertical="center"/>
    </xf>
    <xf numFmtId="3" fontId="44" fillId="0" borderId="96" xfId="0" applyNumberFormat="1" applyFont="1" applyFill="1" applyBorder="1" applyAlignment="1">
      <alignment horizontal="center" vertical="center"/>
    </xf>
    <xf numFmtId="3" fontId="44" fillId="0" borderId="97" xfId="0" applyNumberFormat="1" applyFont="1" applyFill="1" applyBorder="1" applyAlignment="1">
      <alignment horizontal="center" vertical="center"/>
    </xf>
    <xf numFmtId="3" fontId="44" fillId="0" borderId="98" xfId="0" applyNumberFormat="1" applyFont="1" applyFill="1" applyBorder="1" applyAlignment="1">
      <alignment horizontal="center" vertical="center"/>
    </xf>
    <xf numFmtId="3" fontId="44" fillId="0" borderId="4" xfId="0" applyNumberFormat="1" applyFont="1" applyFill="1" applyBorder="1" applyAlignment="1">
      <alignment horizontal="center" vertical="center"/>
    </xf>
    <xf numFmtId="3" fontId="44" fillId="0" borderId="2" xfId="0" applyNumberFormat="1" applyFont="1" applyFill="1" applyBorder="1" applyAlignment="1">
      <alignment horizontal="left" vertical="center"/>
    </xf>
    <xf numFmtId="3" fontId="43" fillId="0" borderId="99" xfId="0" applyNumberFormat="1" applyFont="1" applyFill="1" applyBorder="1" applyAlignment="1">
      <alignment vertical="center"/>
    </xf>
    <xf numFmtId="3" fontId="43" fillId="0" borderId="51" xfId="0" applyNumberFormat="1" applyFont="1" applyFill="1" applyBorder="1" applyAlignment="1">
      <alignment vertical="center"/>
    </xf>
    <xf numFmtId="3" fontId="43" fillId="0" borderId="100" xfId="0" applyNumberFormat="1" applyFont="1" applyFill="1" applyBorder="1" applyAlignment="1">
      <alignment vertical="center"/>
    </xf>
    <xf numFmtId="3" fontId="43" fillId="0" borderId="2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horizontal="left" vertical="center"/>
    </xf>
    <xf numFmtId="3" fontId="43" fillId="0" borderId="101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/>
    </xf>
    <xf numFmtId="3" fontId="43" fillId="0" borderId="28" xfId="0" applyNumberFormat="1" applyFont="1" applyFill="1" applyBorder="1" applyAlignment="1">
      <alignment vertical="center"/>
    </xf>
    <xf numFmtId="3" fontId="43" fillId="0" borderId="85" xfId="0" applyNumberFormat="1" applyFont="1" applyFill="1" applyBorder="1" applyAlignment="1">
      <alignment vertical="center"/>
    </xf>
    <xf numFmtId="3" fontId="43" fillId="0" borderId="102" xfId="0" applyNumberFormat="1" applyFont="1" applyFill="1" applyBorder="1" applyAlignment="1">
      <alignment vertical="center"/>
    </xf>
    <xf numFmtId="3" fontId="43" fillId="0" borderId="1" xfId="0" applyNumberFormat="1" applyFont="1" applyFill="1" applyBorder="1" applyAlignment="1">
      <alignment horizontal="left" vertical="center"/>
    </xf>
    <xf numFmtId="3" fontId="43" fillId="0" borderId="62" xfId="0" applyNumberFormat="1" applyFont="1" applyFill="1" applyBorder="1" applyAlignment="1">
      <alignment vertical="center"/>
    </xf>
    <xf numFmtId="3" fontId="44" fillId="0" borderId="4" xfId="0" applyNumberFormat="1" applyFont="1" applyFill="1" applyBorder="1" applyAlignment="1">
      <alignment horizontal="left" vertical="center"/>
    </xf>
    <xf numFmtId="3" fontId="43" fillId="0" borderId="96" xfId="0" applyNumberFormat="1" applyFont="1" applyFill="1" applyBorder="1" applyAlignment="1">
      <alignment vertical="center"/>
    </xf>
    <xf numFmtId="3" fontId="43" fillId="0" borderId="4" xfId="0" applyNumberFormat="1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3" fontId="43" fillId="0" borderId="103" xfId="0" applyNumberFormat="1" applyFont="1" applyFill="1" applyBorder="1" applyAlignment="1">
      <alignment vertical="center"/>
    </xf>
    <xf numFmtId="3" fontId="44" fillId="0" borderId="104" xfId="0" applyNumberFormat="1" applyFont="1" applyFill="1" applyBorder="1" applyAlignment="1">
      <alignment horizontal="left" vertical="center"/>
    </xf>
    <xf numFmtId="3" fontId="43" fillId="0" borderId="105" xfId="0" applyNumberFormat="1" applyFont="1" applyFill="1" applyBorder="1" applyAlignment="1">
      <alignment vertical="center"/>
    </xf>
    <xf numFmtId="3" fontId="43" fillId="0" borderId="64" xfId="0" applyNumberFormat="1" applyFont="1" applyFill="1" applyBorder="1" applyAlignment="1">
      <alignment vertical="center"/>
    </xf>
    <xf numFmtId="3" fontId="43" fillId="0" borderId="106" xfId="0" applyNumberFormat="1" applyFont="1" applyFill="1" applyBorder="1" applyAlignment="1">
      <alignment vertical="center"/>
    </xf>
    <xf numFmtId="3" fontId="43" fillId="0" borderId="107" xfId="0" applyNumberFormat="1" applyFont="1" applyFill="1" applyBorder="1" applyAlignment="1">
      <alignment vertical="center"/>
    </xf>
    <xf numFmtId="3" fontId="44" fillId="0" borderId="10" xfId="0" applyNumberFormat="1" applyFont="1" applyFill="1" applyBorder="1" applyAlignment="1">
      <alignment horizontal="left" vertical="center"/>
    </xf>
    <xf numFmtId="3" fontId="43" fillId="0" borderId="108" xfId="0" applyNumberFormat="1" applyFont="1" applyFill="1" applyBorder="1" applyAlignment="1">
      <alignment vertical="center"/>
    </xf>
    <xf numFmtId="3" fontId="43" fillId="0" borderId="10" xfId="0" applyNumberFormat="1" applyFont="1" applyFill="1" applyBorder="1" applyAlignment="1">
      <alignment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109" xfId="0" applyFont="1" applyBorder="1" applyAlignment="1">
      <alignment horizontal="center" vertical="center"/>
    </xf>
    <xf numFmtId="0" fontId="49" fillId="0" borderId="110" xfId="0" applyFont="1" applyBorder="1" applyAlignment="1">
      <alignment horizontal="center" vertical="center" wrapText="1"/>
    </xf>
    <xf numFmtId="0" fontId="49" fillId="0" borderId="111" xfId="0" applyFont="1" applyBorder="1" applyAlignment="1">
      <alignment horizontal="center" vertical="center" wrapText="1"/>
    </xf>
    <xf numFmtId="0" fontId="49" fillId="0" borderId="112" xfId="0" applyFont="1" applyBorder="1" applyAlignment="1">
      <alignment vertical="center"/>
    </xf>
    <xf numFmtId="0" fontId="47" fillId="0" borderId="94" xfId="0" applyFont="1" applyBorder="1" applyAlignment="1">
      <alignment vertical="center"/>
    </xf>
    <xf numFmtId="0" fontId="47" fillId="0" borderId="93" xfId="0" applyFont="1" applyBorder="1" applyAlignment="1">
      <alignment vertical="center"/>
    </xf>
    <xf numFmtId="0" fontId="49" fillId="0" borderId="91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7" fillId="0" borderId="92" xfId="0" applyFont="1" applyBorder="1" applyAlignment="1">
      <alignment vertical="center"/>
    </xf>
    <xf numFmtId="0" fontId="49" fillId="0" borderId="94" xfId="0" applyFont="1" applyBorder="1" applyAlignment="1">
      <alignment vertical="center"/>
    </xf>
    <xf numFmtId="0" fontId="48" fillId="5" borderId="113" xfId="0" applyFont="1" applyFill="1" applyBorder="1" applyAlignment="1">
      <alignment vertical="center"/>
    </xf>
    <xf numFmtId="0" fontId="50" fillId="0" borderId="0" xfId="0" applyFont="1" applyAlignment="1">
      <alignment vertical="center"/>
    </xf>
    <xf numFmtId="164" fontId="50" fillId="0" borderId="0" xfId="0" applyNumberFormat="1" applyFont="1" applyAlignment="1">
      <alignment vertical="center"/>
    </xf>
    <xf numFmtId="0" fontId="47" fillId="0" borderId="37" xfId="0" applyFont="1" applyBorder="1" applyAlignment="1">
      <alignment vertical="center"/>
    </xf>
    <xf numFmtId="0" fontId="48" fillId="5" borderId="37" xfId="0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8" fillId="7" borderId="43" xfId="0" applyFont="1" applyFill="1" applyBorder="1" applyAlignment="1">
      <alignment vertical="center"/>
    </xf>
    <xf numFmtId="0" fontId="49" fillId="0" borderId="0" xfId="0" applyFont="1" applyBorder="1" applyAlignment="1">
      <alignment vertical="center"/>
    </xf>
    <xf numFmtId="164" fontId="51" fillId="0" borderId="0" xfId="0" applyNumberFormat="1" applyFont="1" applyBorder="1" applyAlignment="1">
      <alignment vertical="center"/>
    </xf>
    <xf numFmtId="164" fontId="49" fillId="0" borderId="0" xfId="0" applyNumberFormat="1" applyFont="1" applyBorder="1" applyAlignment="1">
      <alignment vertical="center"/>
    </xf>
    <xf numFmtId="164" fontId="47" fillId="0" borderId="0" xfId="0" applyNumberFormat="1" applyFont="1" applyAlignment="1">
      <alignment vertical="center"/>
    </xf>
    <xf numFmtId="0" fontId="8" fillId="0" borderId="114" xfId="0" applyFont="1" applyBorder="1" applyAlignment="1">
      <alignment horizontal="center" vertical="center" wrapText="1"/>
    </xf>
    <xf numFmtId="3" fontId="56" fillId="0" borderId="29" xfId="0" applyNumberFormat="1" applyFont="1" applyBorder="1" applyAlignment="1">
      <alignment vertical="center"/>
    </xf>
    <xf numFmtId="164" fontId="17" fillId="0" borderId="29" xfId="0" applyNumberFormat="1" applyFont="1" applyFill="1" applyBorder="1" applyAlignment="1">
      <alignment vertical="center"/>
    </xf>
    <xf numFmtId="0" fontId="17" fillId="0" borderId="29" xfId="0" applyFont="1" applyBorder="1"/>
    <xf numFmtId="0" fontId="1" fillId="0" borderId="0" xfId="0" applyFont="1" applyAlignment="1">
      <alignment horizontal="right"/>
    </xf>
    <xf numFmtId="164" fontId="11" fillId="0" borderId="0" xfId="0" applyNumberFormat="1" applyFont="1" applyAlignment="1">
      <alignment vertical="center"/>
    </xf>
    <xf numFmtId="0" fontId="11" fillId="0" borderId="29" xfId="0" applyFont="1" applyBorder="1" applyAlignment="1"/>
    <xf numFmtId="0" fontId="5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11" fillId="0" borderId="27" xfId="0" applyFont="1" applyBorder="1"/>
    <xf numFmtId="0" fontId="23" fillId="0" borderId="29" xfId="8" applyFont="1" applyBorder="1" applyAlignment="1"/>
    <xf numFmtId="0" fontId="11" fillId="0" borderId="29" xfId="0" applyFont="1" applyBorder="1"/>
    <xf numFmtId="0" fontId="39" fillId="0" borderId="29" xfId="8" applyFont="1" applyFill="1" applyBorder="1" applyAlignment="1">
      <alignment horizontal="center" vertical="center"/>
    </xf>
    <xf numFmtId="0" fontId="36" fillId="0" borderId="29" xfId="0" applyFont="1" applyFill="1" applyBorder="1"/>
    <xf numFmtId="0" fontId="36" fillId="0" borderId="29" xfId="0" applyFont="1" applyFill="1" applyBorder="1" applyAlignment="1"/>
    <xf numFmtId="0" fontId="36" fillId="0" borderId="29" xfId="0" applyFont="1" applyBorder="1"/>
    <xf numFmtId="0" fontId="11" fillId="0" borderId="29" xfId="0" applyFont="1" applyFill="1" applyBorder="1"/>
    <xf numFmtId="0" fontId="67" fillId="0" borderId="29" xfId="0" applyFont="1" applyBorder="1"/>
    <xf numFmtId="164" fontId="3" fillId="0" borderId="0" xfId="0" applyNumberFormat="1" applyFont="1" applyAlignment="1">
      <alignment vertical="center"/>
    </xf>
    <xf numFmtId="1" fontId="8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center"/>
    </xf>
    <xf numFmtId="164" fontId="17" fillId="0" borderId="29" xfId="0" applyNumberFormat="1" applyFont="1" applyBorder="1" applyAlignment="1">
      <alignment vertical="center" wrapText="1"/>
    </xf>
    <xf numFmtId="0" fontId="9" fillId="0" borderId="73" xfId="0" applyFont="1" applyBorder="1" applyAlignment="1">
      <alignment vertical="center"/>
    </xf>
    <xf numFmtId="0" fontId="9" fillId="0" borderId="91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55" fillId="0" borderId="29" xfId="0" applyFont="1" applyFill="1" applyBorder="1" applyAlignment="1">
      <alignment horizontal="left" vertical="center"/>
    </xf>
    <xf numFmtId="0" fontId="55" fillId="0" borderId="29" xfId="0" applyFont="1" applyBorder="1" applyAlignment="1">
      <alignment vertical="center"/>
    </xf>
    <xf numFmtId="0" fontId="69" fillId="0" borderId="29" xfId="0" applyFont="1" applyFill="1" applyBorder="1" applyAlignment="1">
      <alignment horizontal="left" vertical="center"/>
    </xf>
    <xf numFmtId="3" fontId="3" fillId="0" borderId="20" xfId="0" applyNumberFormat="1" applyFont="1" applyBorder="1" applyAlignment="1">
      <alignment horizontal="left" vertical="center"/>
    </xf>
    <xf numFmtId="164" fontId="23" fillId="0" borderId="28" xfId="8" applyNumberFormat="1" applyFont="1" applyFill="1" applyBorder="1" applyAlignment="1">
      <alignment horizontal="right"/>
    </xf>
    <xf numFmtId="0" fontId="56" fillId="0" borderId="29" xfId="0" applyFont="1" applyBorder="1" applyAlignment="1">
      <alignment horizontal="left" vertical="center" wrapText="1"/>
    </xf>
    <xf numFmtId="0" fontId="56" fillId="0" borderId="29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right" vertical="center"/>
    </xf>
    <xf numFmtId="3" fontId="56" fillId="0" borderId="29" xfId="0" applyNumberFormat="1" applyFont="1" applyBorder="1" applyAlignment="1">
      <alignment horizontal="right" vertical="center" wrapText="1"/>
    </xf>
    <xf numFmtId="3" fontId="56" fillId="0" borderId="29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/>
    </xf>
    <xf numFmtId="3" fontId="5" fillId="0" borderId="0" xfId="0" applyNumberFormat="1" applyFont="1" applyFill="1" applyAlignment="1">
      <alignment horizontal="right" vertical="center"/>
    </xf>
    <xf numFmtId="3" fontId="56" fillId="0" borderId="0" xfId="0" applyNumberFormat="1" applyFont="1" applyFill="1" applyAlignment="1">
      <alignment vertical="center"/>
    </xf>
    <xf numFmtId="3" fontId="56" fillId="0" borderId="0" xfId="0" applyNumberFormat="1" applyFont="1"/>
    <xf numFmtId="0" fontId="56" fillId="0" borderId="0" xfId="5" applyFont="1"/>
    <xf numFmtId="3" fontId="56" fillId="0" borderId="0" xfId="5" applyNumberFormat="1" applyFont="1"/>
    <xf numFmtId="0" fontId="70" fillId="0" borderId="0" xfId="0" applyFont="1"/>
    <xf numFmtId="0" fontId="22" fillId="0" borderId="29" xfId="8" applyFont="1" applyFill="1" applyBorder="1" applyAlignment="1">
      <alignment horizontal="center" vertical="center"/>
    </xf>
    <xf numFmtId="0" fontId="0" fillId="0" borderId="0" xfId="0" applyFont="1"/>
    <xf numFmtId="0" fontId="22" fillId="0" borderId="27" xfId="8" applyFont="1" applyFill="1" applyBorder="1" applyAlignment="1">
      <alignment horizontal="center" vertical="center"/>
    </xf>
    <xf numFmtId="0" fontId="22" fillId="0" borderId="65" xfId="8" applyFont="1" applyFill="1" applyBorder="1" applyAlignment="1">
      <alignment horizontal="center" vertical="center"/>
    </xf>
    <xf numFmtId="3" fontId="0" fillId="0" borderId="0" xfId="0" applyNumberFormat="1" applyFont="1"/>
    <xf numFmtId="3" fontId="55" fillId="0" borderId="29" xfId="5" applyNumberFormat="1" applyFont="1" applyBorder="1" applyAlignment="1">
      <alignment horizontal="right" vertical="center"/>
    </xf>
    <xf numFmtId="0" fontId="55" fillId="0" borderId="0" xfId="0" applyFont="1"/>
    <xf numFmtId="3" fontId="55" fillId="0" borderId="65" xfId="4" applyNumberFormat="1" applyFont="1" applyBorder="1" applyAlignment="1">
      <alignment horizontal="right" vertical="center"/>
    </xf>
    <xf numFmtId="0" fontId="4" fillId="0" borderId="27" xfId="0" applyFont="1" applyBorder="1" applyAlignment="1">
      <alignment wrapText="1"/>
    </xf>
    <xf numFmtId="0" fontId="71" fillId="0" borderId="57" xfId="5" applyFont="1" applyBorder="1" applyAlignment="1">
      <alignment horizontal="left" vertical="center"/>
    </xf>
    <xf numFmtId="0" fontId="70" fillId="0" borderId="0" xfId="5" applyFont="1" applyAlignment="1">
      <alignment horizontal="center"/>
    </xf>
    <xf numFmtId="3" fontId="55" fillId="0" borderId="0" xfId="0" applyNumberFormat="1" applyFont="1"/>
    <xf numFmtId="0" fontId="4" fillId="0" borderId="59" xfId="0" applyFont="1" applyBorder="1" applyAlignment="1">
      <alignment wrapText="1"/>
    </xf>
    <xf numFmtId="164" fontId="72" fillId="0" borderId="0" xfId="0" applyNumberFormat="1" applyFont="1" applyAlignment="1">
      <alignment vertical="center"/>
    </xf>
    <xf numFmtId="0" fontId="10" fillId="0" borderId="94" xfId="0" applyFont="1" applyFill="1" applyBorder="1" applyAlignment="1">
      <alignment horizontal="left"/>
    </xf>
    <xf numFmtId="0" fontId="3" fillId="0" borderId="94" xfId="0" applyFont="1" applyFill="1" applyBorder="1" applyAlignment="1">
      <alignment horizontal="left"/>
    </xf>
    <xf numFmtId="0" fontId="24" fillId="0" borderId="115" xfId="0" applyFont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3" fillId="0" borderId="91" xfId="0" applyFont="1" applyBorder="1"/>
    <xf numFmtId="0" fontId="3" fillId="0" borderId="115" xfId="0" applyFont="1" applyBorder="1"/>
    <xf numFmtId="0" fontId="3" fillId="0" borderId="116" xfId="0" applyFont="1" applyBorder="1"/>
    <xf numFmtId="0" fontId="10" fillId="0" borderId="91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164" fontId="25" fillId="0" borderId="0" xfId="0" applyNumberFormat="1" applyFont="1" applyFill="1" applyBorder="1" applyAlignment="1">
      <alignment horizontal="center" vertical="center" wrapText="1"/>
    </xf>
    <xf numFmtId="0" fontId="23" fillId="0" borderId="28" xfId="8" applyFont="1" applyFill="1" applyBorder="1" applyAlignment="1"/>
    <xf numFmtId="164" fontId="32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3" fontId="3" fillId="0" borderId="3" xfId="0" applyNumberFormat="1" applyFont="1" applyFill="1" applyBorder="1" applyAlignment="1">
      <alignment horizontal="left" vertical="center"/>
    </xf>
    <xf numFmtId="0" fontId="23" fillId="0" borderId="28" xfId="8" applyFont="1" applyBorder="1" applyAlignment="1">
      <alignment vertical="center" wrapText="1"/>
    </xf>
    <xf numFmtId="0" fontId="23" fillId="0" borderId="85" xfId="8" applyFont="1" applyBorder="1" applyAlignment="1">
      <alignment vertical="center" wrapText="1"/>
    </xf>
    <xf numFmtId="0" fontId="11" fillId="0" borderId="29" xfId="0" applyFont="1" applyFill="1" applyBorder="1" applyAlignment="1">
      <alignment wrapText="1"/>
    </xf>
    <xf numFmtId="167" fontId="0" fillId="0" borderId="0" xfId="0" applyNumberFormat="1"/>
    <xf numFmtId="0" fontId="0" fillId="0" borderId="0" xfId="0" applyFill="1"/>
    <xf numFmtId="0" fontId="23" fillId="0" borderId="117" xfId="8" applyFont="1" applyFill="1" applyBorder="1" applyAlignment="1"/>
    <xf numFmtId="0" fontId="11" fillId="0" borderId="118" xfId="0" applyFont="1" applyFill="1" applyBorder="1"/>
    <xf numFmtId="0" fontId="23" fillId="0" borderId="29" xfId="8" applyFont="1" applyFill="1" applyBorder="1" applyAlignment="1"/>
    <xf numFmtId="0" fontId="23" fillId="0" borderId="69" xfId="8" applyFont="1" applyFill="1" applyBorder="1" applyAlignment="1"/>
    <xf numFmtId="0" fontId="23" fillId="0" borderId="51" xfId="8" applyFont="1" applyFill="1" applyBorder="1" applyAlignment="1"/>
    <xf numFmtId="0" fontId="22" fillId="0" borderId="28" xfId="8" applyFont="1" applyFill="1" applyBorder="1" applyAlignment="1">
      <alignment horizontal="left"/>
    </xf>
    <xf numFmtId="0" fontId="11" fillId="0" borderId="0" xfId="0" applyFont="1" applyFill="1"/>
    <xf numFmtId="0" fontId="23" fillId="0" borderId="37" xfId="8" applyFont="1" applyBorder="1"/>
    <xf numFmtId="0" fontId="23" fillId="0" borderId="119" xfId="8" applyFont="1" applyBorder="1"/>
    <xf numFmtId="0" fontId="26" fillId="0" borderId="29" xfId="0" applyFont="1" applyBorder="1" applyAlignment="1">
      <alignment vertical="center"/>
    </xf>
    <xf numFmtId="164" fontId="26" fillId="0" borderId="29" xfId="0" applyNumberFormat="1" applyFont="1" applyBorder="1" applyAlignment="1">
      <alignment vertical="center"/>
    </xf>
    <xf numFmtId="164" fontId="24" fillId="0" borderId="29" xfId="0" applyNumberFormat="1" applyFont="1" applyBorder="1" applyAlignment="1">
      <alignment vertical="center"/>
    </xf>
    <xf numFmtId="0" fontId="12" fillId="0" borderId="29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3" fillId="0" borderId="20" xfId="8" applyFont="1" applyFill="1" applyBorder="1"/>
    <xf numFmtId="0" fontId="10" fillId="0" borderId="29" xfId="0" applyFont="1" applyBorder="1" applyAlignment="1">
      <alignment horizontal="center" vertical="center" wrapText="1"/>
    </xf>
    <xf numFmtId="3" fontId="56" fillId="0" borderId="29" xfId="0" applyNumberFormat="1" applyFont="1" applyFill="1" applyBorder="1" applyAlignment="1">
      <alignment vertical="center"/>
    </xf>
    <xf numFmtId="3" fontId="55" fillId="0" borderId="65" xfId="4" applyNumberFormat="1" applyFont="1" applyBorder="1" applyAlignment="1">
      <alignment horizontal="right" vertical="center"/>
    </xf>
    <xf numFmtId="3" fontId="55" fillId="0" borderId="27" xfId="5" applyNumberFormat="1" applyFont="1" applyFill="1" applyBorder="1" applyAlignment="1">
      <alignment horizontal="right" vertical="center"/>
    </xf>
    <xf numFmtId="3" fontId="55" fillId="0" borderId="29" xfId="5" applyNumberFormat="1" applyFont="1" applyFill="1" applyBorder="1" applyAlignment="1">
      <alignment horizontal="right" vertical="center"/>
    </xf>
    <xf numFmtId="3" fontId="55" fillId="0" borderId="27" xfId="4" applyNumberFormat="1" applyFont="1" applyFill="1" applyBorder="1" applyAlignment="1">
      <alignment horizontal="right" vertical="center" wrapText="1"/>
    </xf>
    <xf numFmtId="3" fontId="55" fillId="0" borderId="29" xfId="4" applyNumberFormat="1" applyFont="1" applyFill="1" applyBorder="1" applyAlignment="1">
      <alignment horizontal="right" vertical="center" wrapText="1"/>
    </xf>
    <xf numFmtId="3" fontId="55" fillId="0" borderId="29" xfId="4" applyNumberFormat="1" applyFont="1" applyFill="1" applyBorder="1" applyAlignment="1">
      <alignment horizontal="right" vertical="center"/>
    </xf>
    <xf numFmtId="3" fontId="55" fillId="0" borderId="29" xfId="1" applyNumberFormat="1" applyFont="1" applyFill="1" applyBorder="1" applyAlignment="1">
      <alignment horizontal="right" vertical="center" wrapText="1"/>
    </xf>
    <xf numFmtId="3" fontId="55" fillId="0" borderId="27" xfId="0" applyNumberFormat="1" applyFont="1" applyFill="1" applyBorder="1" applyAlignment="1">
      <alignment horizontal="right" vertical="center" wrapText="1"/>
    </xf>
    <xf numFmtId="3" fontId="55" fillId="0" borderId="29" xfId="0" applyNumberFormat="1" applyFont="1" applyFill="1" applyBorder="1" applyAlignment="1">
      <alignment horizontal="right" vertical="center" wrapText="1"/>
    </xf>
    <xf numFmtId="3" fontId="73" fillId="0" borderId="27" xfId="1" applyNumberFormat="1" applyFont="1" applyFill="1" applyBorder="1" applyAlignment="1">
      <alignment horizontal="right" vertical="center" wrapText="1"/>
    </xf>
    <xf numFmtId="3" fontId="73" fillId="0" borderId="29" xfId="1" applyNumberFormat="1" applyFont="1" applyFill="1" applyBorder="1" applyAlignment="1">
      <alignment horizontal="right" vertical="center" wrapText="1"/>
    </xf>
    <xf numFmtId="3" fontId="55" fillId="0" borderId="27" xfId="4" applyNumberFormat="1" applyFont="1" applyFill="1" applyBorder="1" applyAlignment="1">
      <alignment horizontal="right" vertical="center" wrapText="1"/>
    </xf>
    <xf numFmtId="3" fontId="55" fillId="0" borderId="29" xfId="4" applyNumberFormat="1" applyFont="1" applyFill="1" applyBorder="1" applyAlignment="1">
      <alignment horizontal="right" vertical="center" wrapText="1"/>
    </xf>
    <xf numFmtId="3" fontId="55" fillId="0" borderId="29" xfId="5" applyNumberFormat="1" applyFont="1" applyFill="1" applyBorder="1" applyAlignment="1">
      <alignment horizontal="right" vertical="center"/>
    </xf>
    <xf numFmtId="3" fontId="55" fillId="0" borderId="29" xfId="4" applyNumberFormat="1" applyFont="1" applyFill="1" applyBorder="1" applyAlignment="1">
      <alignment horizontal="right" vertical="center"/>
    </xf>
    <xf numFmtId="3" fontId="55" fillId="0" borderId="31" xfId="4" applyNumberFormat="1" applyFont="1" applyFill="1" applyBorder="1" applyAlignment="1">
      <alignment horizontal="right" vertical="center" wrapText="1"/>
    </xf>
    <xf numFmtId="3" fontId="55" fillId="0" borderId="31" xfId="1" applyNumberFormat="1" applyFont="1" applyFill="1" applyBorder="1" applyAlignment="1">
      <alignment horizontal="right" vertical="center" wrapText="1"/>
    </xf>
    <xf numFmtId="3" fontId="55" fillId="0" borderId="27" xfId="1" applyNumberFormat="1" applyFont="1" applyFill="1" applyBorder="1" applyAlignment="1">
      <alignment horizontal="right" vertical="center" wrapText="1"/>
    </xf>
    <xf numFmtId="164" fontId="4" fillId="0" borderId="0" xfId="7" applyNumberFormat="1" applyFont="1"/>
    <xf numFmtId="164" fontId="8" fillId="0" borderId="0" xfId="7" applyNumberFormat="1" applyFont="1"/>
    <xf numFmtId="164" fontId="11" fillId="0" borderId="0" xfId="0" applyNumberFormat="1" applyFont="1" applyFill="1"/>
    <xf numFmtId="0" fontId="23" fillId="0" borderId="118" xfId="8" applyFont="1" applyFill="1" applyBorder="1" applyAlignment="1"/>
    <xf numFmtId="3" fontId="55" fillId="0" borderId="31" xfId="5" applyNumberFormat="1" applyFont="1" applyBorder="1" applyAlignment="1">
      <alignment horizontal="right" vertical="center"/>
    </xf>
    <xf numFmtId="3" fontId="71" fillId="0" borderId="38" xfId="5" applyNumberFormat="1" applyFont="1" applyBorder="1" applyAlignment="1">
      <alignment horizontal="right" vertical="center"/>
    </xf>
    <xf numFmtId="3" fontId="71" fillId="0" borderId="39" xfId="5" applyNumberFormat="1" applyFont="1" applyBorder="1" applyAlignment="1">
      <alignment horizontal="right" vertical="center"/>
    </xf>
    <xf numFmtId="3" fontId="8" fillId="2" borderId="20" xfId="7" applyNumberFormat="1" applyFont="1" applyFill="1" applyBorder="1" applyAlignment="1">
      <alignment wrapText="1"/>
    </xf>
    <xf numFmtId="3" fontId="21" fillId="0" borderId="20" xfId="7" applyNumberFormat="1" applyFont="1" applyBorder="1" applyAlignment="1">
      <alignment wrapText="1"/>
    </xf>
    <xf numFmtId="3" fontId="8" fillId="0" borderId="20" xfId="7" applyNumberFormat="1" applyFont="1" applyBorder="1" applyAlignment="1">
      <alignment wrapText="1"/>
    </xf>
    <xf numFmtId="3" fontId="4" fillId="0" borderId="20" xfId="7" applyNumberFormat="1" applyFont="1" applyBorder="1" applyAlignment="1">
      <alignment wrapText="1"/>
    </xf>
    <xf numFmtId="164" fontId="24" fillId="0" borderId="27" xfId="0" applyNumberFormat="1" applyFont="1" applyBorder="1" applyAlignment="1">
      <alignment vertical="center"/>
    </xf>
    <xf numFmtId="3" fontId="8" fillId="3" borderId="120" xfId="7" applyNumberFormat="1" applyFont="1" applyFill="1" applyBorder="1" applyAlignment="1">
      <alignment wrapText="1"/>
    </xf>
    <xf numFmtId="0" fontId="8" fillId="0" borderId="9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9" fillId="0" borderId="74" xfId="0" applyFont="1" applyBorder="1" applyAlignment="1">
      <alignment vertical="center"/>
    </xf>
    <xf numFmtId="0" fontId="4" fillId="0" borderId="9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5" fillId="0" borderId="74" xfId="0" applyFont="1" applyBorder="1" applyAlignment="1">
      <alignment vertical="center"/>
    </xf>
    <xf numFmtId="0" fontId="8" fillId="0" borderId="112" xfId="0" applyFont="1" applyBorder="1" applyAlignment="1">
      <alignment horizontal="left" vertical="center"/>
    </xf>
    <xf numFmtId="0" fontId="8" fillId="0" borderId="121" xfId="0" applyFont="1" applyBorder="1" applyAlignment="1">
      <alignment horizontal="left" vertical="center"/>
    </xf>
    <xf numFmtId="0" fontId="8" fillId="0" borderId="74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8" fillId="0" borderId="93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0" fontId="8" fillId="0" borderId="123" xfId="0" applyFont="1" applyBorder="1" applyAlignment="1">
      <alignment vertical="center"/>
    </xf>
    <xf numFmtId="0" fontId="4" fillId="0" borderId="93" xfId="0" applyFont="1" applyBorder="1" applyAlignment="1">
      <alignment horizontal="left" vertical="center"/>
    </xf>
    <xf numFmtId="0" fontId="4" fillId="0" borderId="122" xfId="0" applyFont="1" applyBorder="1" applyAlignment="1">
      <alignment horizontal="left" vertical="center"/>
    </xf>
    <xf numFmtId="0" fontId="9" fillId="0" borderId="123" xfId="0" applyFont="1" applyBorder="1" applyAlignment="1">
      <alignment vertical="center"/>
    </xf>
    <xf numFmtId="0" fontId="11" fillId="0" borderId="0" xfId="0" applyFont="1" applyFill="1" applyBorder="1" applyAlignment="1"/>
    <xf numFmtId="0" fontId="23" fillId="0" borderId="94" xfId="8" applyFont="1" applyBorder="1"/>
    <xf numFmtId="0" fontId="3" fillId="0" borderId="29" xfId="0" applyFont="1" applyBorder="1"/>
    <xf numFmtId="3" fontId="5" fillId="0" borderId="29" xfId="0" applyNumberFormat="1" applyFont="1" applyBorder="1" applyAlignment="1">
      <alignment vertical="center"/>
    </xf>
    <xf numFmtId="164" fontId="37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vertical="center"/>
    </xf>
    <xf numFmtId="0" fontId="10" fillId="0" borderId="71" xfId="0" applyFont="1" applyBorder="1" applyAlignment="1">
      <alignment horizontal="center" vertical="center" wrapText="1"/>
    </xf>
    <xf numFmtId="164" fontId="23" fillId="0" borderId="51" xfId="8" applyNumberFormat="1" applyFont="1" applyFill="1" applyBorder="1"/>
    <xf numFmtId="164" fontId="9" fillId="0" borderId="0" xfId="0" applyNumberFormat="1" applyFont="1" applyBorder="1" applyAlignment="1">
      <alignment vertical="center"/>
    </xf>
    <xf numFmtId="0" fontId="10" fillId="0" borderId="1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vertical="center"/>
    </xf>
    <xf numFmtId="164" fontId="74" fillId="0" borderId="29" xfId="0" applyNumberFormat="1" applyFont="1" applyBorder="1" applyAlignment="1">
      <alignment vertical="center" wrapText="1"/>
    </xf>
    <xf numFmtId="3" fontId="5" fillId="0" borderId="125" xfId="0" applyNumberFormat="1" applyFont="1" applyFill="1" applyBorder="1" applyAlignment="1">
      <alignment horizontal="right" vertical="center" wrapText="1"/>
    </xf>
    <xf numFmtId="3" fontId="5" fillId="0" borderId="126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right" vertical="center" wrapText="1"/>
    </xf>
    <xf numFmtId="3" fontId="5" fillId="0" borderId="127" xfId="0" applyNumberFormat="1" applyFont="1" applyFill="1" applyBorder="1" applyAlignment="1">
      <alignment vertical="center"/>
    </xf>
    <xf numFmtId="3" fontId="5" fillId="0" borderId="128" xfId="0" applyNumberFormat="1" applyFont="1" applyFill="1" applyBorder="1" applyAlignment="1">
      <alignment vertical="center"/>
    </xf>
    <xf numFmtId="3" fontId="5" fillId="0" borderId="129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right" vertical="center"/>
    </xf>
    <xf numFmtId="0" fontId="56" fillId="0" borderId="27" xfId="0" applyFont="1" applyFill="1" applyBorder="1"/>
    <xf numFmtId="0" fontId="56" fillId="0" borderId="59" xfId="0" applyFont="1" applyFill="1" applyBorder="1" applyAlignment="1">
      <alignment wrapText="1"/>
    </xf>
    <xf numFmtId="0" fontId="9" fillId="0" borderId="29" xfId="0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4" fontId="15" fillId="0" borderId="66" xfId="0" applyNumberFormat="1" applyFont="1" applyBorder="1" applyAlignment="1">
      <alignment vertical="center"/>
    </xf>
    <xf numFmtId="3" fontId="3" fillId="0" borderId="6" xfId="0" applyNumberFormat="1" applyFont="1" applyFill="1" applyBorder="1" applyAlignment="1">
      <alignment horizontal="left" vertical="center"/>
    </xf>
    <xf numFmtId="0" fontId="8" fillId="0" borderId="53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6" fillId="0" borderId="104" xfId="0" applyFont="1" applyBorder="1" applyAlignment="1">
      <alignment horizontal="center" vertical="center"/>
    </xf>
    <xf numFmtId="0" fontId="8" fillId="0" borderId="130" xfId="0" applyFont="1" applyBorder="1" applyAlignment="1">
      <alignment vertical="center"/>
    </xf>
    <xf numFmtId="0" fontId="4" fillId="0" borderId="131" xfId="0" applyFont="1" applyBorder="1" applyAlignment="1">
      <alignment vertical="center"/>
    </xf>
    <xf numFmtId="0" fontId="8" fillId="0" borderId="131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8" fillId="0" borderId="132" xfId="0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12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8" fillId="0" borderId="134" xfId="0" applyFont="1" applyBorder="1" applyAlignment="1">
      <alignment vertical="center"/>
    </xf>
    <xf numFmtId="0" fontId="4" fillId="0" borderId="135" xfId="0" applyFont="1" applyBorder="1" applyAlignment="1">
      <alignment vertical="center"/>
    </xf>
    <xf numFmtId="0" fontId="4" fillId="0" borderId="136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3" fontId="47" fillId="0" borderId="137" xfId="0" applyNumberFormat="1" applyFont="1" applyBorder="1" applyAlignment="1">
      <alignment vertical="center"/>
    </xf>
    <xf numFmtId="3" fontId="47" fillId="0" borderId="32" xfId="0" applyNumberFormat="1" applyFont="1" applyBorder="1" applyAlignment="1">
      <alignment vertical="center"/>
    </xf>
    <xf numFmtId="3" fontId="47" fillId="0" borderId="138" xfId="0" applyNumberFormat="1" applyFont="1" applyBorder="1" applyAlignment="1">
      <alignment vertical="center"/>
    </xf>
    <xf numFmtId="3" fontId="49" fillId="0" borderId="139" xfId="0" applyNumberFormat="1" applyFont="1" applyBorder="1" applyAlignment="1">
      <alignment vertical="center"/>
    </xf>
    <xf numFmtId="3" fontId="47" fillId="0" borderId="42" xfId="0" applyNumberFormat="1" applyFont="1" applyBorder="1" applyAlignment="1">
      <alignment vertical="center"/>
    </xf>
    <xf numFmtId="3" fontId="49" fillId="0" borderId="32" xfId="0" applyNumberFormat="1" applyFont="1" applyBorder="1" applyAlignment="1">
      <alignment vertical="center"/>
    </xf>
    <xf numFmtId="3" fontId="48" fillId="5" borderId="4" xfId="0" applyNumberFormat="1" applyFont="1" applyFill="1" applyBorder="1" applyAlignment="1">
      <alignment vertical="center"/>
    </xf>
    <xf numFmtId="3" fontId="47" fillId="0" borderId="33" xfId="0" applyNumberFormat="1" applyFont="1" applyBorder="1" applyAlignment="1">
      <alignment vertical="center"/>
    </xf>
    <xf numFmtId="3" fontId="47" fillId="0" borderId="34" xfId="0" applyNumberFormat="1" applyFont="1" applyBorder="1" applyAlignment="1">
      <alignment vertical="center"/>
    </xf>
    <xf numFmtId="3" fontId="47" fillId="0" borderId="140" xfId="0" applyNumberFormat="1" applyFont="1" applyBorder="1" applyAlignment="1">
      <alignment vertical="center"/>
    </xf>
    <xf numFmtId="3" fontId="47" fillId="0" borderId="141" xfId="0" applyNumberFormat="1" applyFont="1" applyBorder="1" applyAlignment="1">
      <alignment vertical="center"/>
    </xf>
    <xf numFmtId="3" fontId="48" fillId="5" borderId="142" xfId="0" applyNumberFormat="1" applyFont="1" applyFill="1" applyBorder="1" applyAlignment="1">
      <alignment vertical="center"/>
    </xf>
    <xf numFmtId="3" fontId="48" fillId="7" borderId="143" xfId="0" applyNumberFormat="1" applyFont="1" applyFill="1" applyBorder="1" applyAlignment="1">
      <alignment vertical="center"/>
    </xf>
    <xf numFmtId="3" fontId="47" fillId="0" borderId="5" xfId="0" applyNumberFormat="1" applyFont="1" applyBorder="1" applyAlignment="1">
      <alignment vertical="center"/>
    </xf>
    <xf numFmtId="3" fontId="47" fillId="0" borderId="144" xfId="0" applyNumberFormat="1" applyFont="1" applyBorder="1" applyAlignment="1">
      <alignment vertical="center"/>
    </xf>
    <xf numFmtId="3" fontId="47" fillId="0" borderId="125" xfId="0" applyNumberFormat="1" applyFont="1" applyBorder="1" applyAlignment="1">
      <alignment vertical="center"/>
    </xf>
    <xf numFmtId="3" fontId="47" fillId="0" borderId="145" xfId="0" applyNumberFormat="1" applyFont="1" applyBorder="1" applyAlignment="1">
      <alignment vertical="center"/>
    </xf>
    <xf numFmtId="3" fontId="47" fillId="0" borderId="6" xfId="0" applyNumberFormat="1" applyFont="1" applyBorder="1" applyAlignment="1">
      <alignment vertical="center"/>
    </xf>
    <xf numFmtId="3" fontId="47" fillId="0" borderId="101" xfId="0" applyNumberFormat="1" applyFont="1" applyBorder="1" applyAlignment="1">
      <alignment vertical="center"/>
    </xf>
    <xf numFmtId="3" fontId="47" fillId="0" borderId="28" xfId="0" applyNumberFormat="1" applyFont="1" applyBorder="1" applyAlignment="1">
      <alignment vertical="center"/>
    </xf>
    <xf numFmtId="3" fontId="47" fillId="0" borderId="129" xfId="0" applyNumberFormat="1" applyFont="1" applyFill="1" applyBorder="1" applyAlignment="1">
      <alignment vertical="center"/>
    </xf>
    <xf numFmtId="3" fontId="47" fillId="0" borderId="129" xfId="0" applyNumberFormat="1" applyFont="1" applyBorder="1" applyAlignment="1">
      <alignment vertical="center"/>
    </xf>
    <xf numFmtId="3" fontId="47" fillId="0" borderId="146" xfId="0" applyNumberFormat="1" applyFont="1" applyBorder="1" applyAlignment="1">
      <alignment vertical="center"/>
    </xf>
    <xf numFmtId="3" fontId="47" fillId="0" borderId="147" xfId="0" applyNumberFormat="1" applyFont="1" applyBorder="1" applyAlignment="1">
      <alignment vertical="center"/>
    </xf>
    <xf numFmtId="3" fontId="47" fillId="0" borderId="102" xfId="0" applyNumberFormat="1" applyFont="1" applyBorder="1" applyAlignment="1">
      <alignment vertical="center"/>
    </xf>
    <xf numFmtId="3" fontId="47" fillId="0" borderId="63" xfId="0" applyNumberFormat="1" applyFont="1" applyBorder="1" applyAlignment="1">
      <alignment vertical="center"/>
    </xf>
    <xf numFmtId="3" fontId="49" fillId="0" borderId="148" xfId="0" applyNumberFormat="1" applyFont="1" applyBorder="1" applyAlignment="1">
      <alignment vertical="center"/>
    </xf>
    <xf numFmtId="3" fontId="49" fillId="0" borderId="38" xfId="0" applyNumberFormat="1" applyFont="1" applyBorder="1" applyAlignment="1">
      <alignment vertical="center"/>
    </xf>
    <xf numFmtId="3" fontId="49" fillId="0" borderId="105" xfId="0" applyNumberFormat="1" applyFont="1" applyBorder="1" applyAlignment="1">
      <alignment vertical="center"/>
    </xf>
    <xf numFmtId="3" fontId="49" fillId="0" borderId="49" xfId="0" applyNumberFormat="1" applyFont="1" applyBorder="1" applyAlignment="1">
      <alignment vertical="center"/>
    </xf>
    <xf numFmtId="3" fontId="47" fillId="0" borderId="149" xfId="0" applyNumberFormat="1" applyFont="1" applyBorder="1" applyAlignment="1">
      <alignment vertical="center"/>
    </xf>
    <xf numFmtId="3" fontId="47" fillId="0" borderId="150" xfId="0" applyNumberFormat="1" applyFont="1" applyBorder="1" applyAlignment="1">
      <alignment vertical="center"/>
    </xf>
    <xf numFmtId="3" fontId="47" fillId="0" borderId="151" xfId="0" applyNumberFormat="1" applyFont="1" applyBorder="1" applyAlignment="1">
      <alignment vertical="center"/>
    </xf>
    <xf numFmtId="3" fontId="47" fillId="0" borderId="99" xfId="0" applyNumberFormat="1" applyFont="1" applyBorder="1" applyAlignment="1">
      <alignment vertical="center"/>
    </xf>
    <xf numFmtId="3" fontId="47" fillId="0" borderId="128" xfId="0" applyNumberFormat="1" applyFont="1" applyBorder="1" applyAlignment="1">
      <alignment vertical="center"/>
    </xf>
    <xf numFmtId="3" fontId="47" fillId="0" borderId="152" xfId="0" applyNumberFormat="1" applyFont="1" applyBorder="1" applyAlignment="1">
      <alignment vertical="center"/>
    </xf>
    <xf numFmtId="3" fontId="47" fillId="0" borderId="153" xfId="0" applyNumberFormat="1" applyFont="1" applyBorder="1" applyAlignment="1">
      <alignment vertical="center"/>
    </xf>
    <xf numFmtId="3" fontId="47" fillId="0" borderId="117" xfId="0" applyNumberFormat="1" applyFont="1" applyBorder="1" applyAlignment="1">
      <alignment vertical="center"/>
    </xf>
    <xf numFmtId="3" fontId="47" fillId="0" borderId="154" xfId="0" applyNumberFormat="1" applyFont="1" applyBorder="1" applyAlignment="1">
      <alignment vertical="center"/>
    </xf>
    <xf numFmtId="3" fontId="47" fillId="0" borderId="51" xfId="0" applyNumberFormat="1" applyFont="1" applyBorder="1" applyAlignment="1">
      <alignment vertical="center"/>
    </xf>
    <xf numFmtId="3" fontId="49" fillId="0" borderId="6" xfId="0" applyNumberFormat="1" applyFont="1" applyBorder="1" applyAlignment="1">
      <alignment vertical="center"/>
    </xf>
    <xf numFmtId="3" fontId="49" fillId="0" borderId="28" xfId="0" applyNumberFormat="1" applyFont="1" applyBorder="1" applyAlignment="1">
      <alignment vertical="center"/>
    </xf>
    <xf numFmtId="3" fontId="49" fillId="0" borderId="129" xfId="0" applyNumberFormat="1" applyFont="1" applyBorder="1" applyAlignment="1">
      <alignment vertical="center"/>
    </xf>
    <xf numFmtId="3" fontId="49" fillId="0" borderId="101" xfId="0" applyNumberFormat="1" applyFont="1" applyBorder="1" applyAlignment="1">
      <alignment vertical="center"/>
    </xf>
    <xf numFmtId="3" fontId="49" fillId="0" borderId="155" xfId="0" applyNumberFormat="1" applyFont="1" applyBorder="1" applyAlignment="1">
      <alignment vertical="center"/>
    </xf>
    <xf numFmtId="3" fontId="49" fillId="0" borderId="156" xfId="0" applyNumberFormat="1" applyFont="1" applyBorder="1" applyAlignment="1">
      <alignment vertical="center"/>
    </xf>
    <xf numFmtId="3" fontId="48" fillId="5" borderId="157" xfId="0" applyNumberFormat="1" applyFont="1" applyFill="1" applyBorder="1" applyAlignment="1">
      <alignment vertical="center"/>
    </xf>
    <xf numFmtId="3" fontId="48" fillId="5" borderId="158" xfId="0" applyNumberFormat="1" applyFont="1" applyFill="1" applyBorder="1" applyAlignment="1">
      <alignment vertical="center"/>
    </xf>
    <xf numFmtId="3" fontId="48" fillId="5" borderId="159" xfId="0" applyNumberFormat="1" applyFont="1" applyFill="1" applyBorder="1" applyAlignment="1">
      <alignment vertical="center"/>
    </xf>
    <xf numFmtId="3" fontId="47" fillId="0" borderId="9" xfId="0" applyNumberFormat="1" applyFont="1" applyBorder="1" applyAlignment="1">
      <alignment vertical="center"/>
    </xf>
    <xf numFmtId="3" fontId="47" fillId="0" borderId="62" xfId="0" applyNumberFormat="1" applyFont="1" applyBorder="1" applyAlignment="1">
      <alignment vertical="center"/>
    </xf>
    <xf numFmtId="3" fontId="49" fillId="0" borderId="160" xfId="0" applyNumberFormat="1" applyFont="1" applyBorder="1" applyAlignment="1">
      <alignment vertical="center"/>
    </xf>
    <xf numFmtId="3" fontId="49" fillId="0" borderId="64" xfId="0" applyNumberFormat="1" applyFont="1" applyBorder="1" applyAlignment="1">
      <alignment vertical="center"/>
    </xf>
    <xf numFmtId="3" fontId="49" fillId="0" borderId="57" xfId="0" applyNumberFormat="1" applyFont="1" applyBorder="1" applyAlignment="1">
      <alignment vertical="center"/>
    </xf>
    <xf numFmtId="3" fontId="49" fillId="0" borderId="40" xfId="0" applyNumberFormat="1" applyFont="1" applyBorder="1" applyAlignment="1">
      <alignment vertical="center"/>
    </xf>
    <xf numFmtId="3" fontId="49" fillId="0" borderId="161" xfId="0" applyNumberFormat="1" applyFont="1" applyBorder="1" applyAlignment="1">
      <alignment vertical="center"/>
    </xf>
    <xf numFmtId="3" fontId="49" fillId="0" borderId="162" xfId="0" applyNumberFormat="1" applyFont="1" applyBorder="1" applyAlignment="1">
      <alignment vertical="center"/>
    </xf>
    <xf numFmtId="3" fontId="49" fillId="0" borderId="41" xfId="0" applyNumberFormat="1" applyFont="1" applyBorder="1" applyAlignment="1">
      <alignment vertical="center"/>
    </xf>
    <xf numFmtId="3" fontId="48" fillId="5" borderId="163" xfId="0" applyNumberFormat="1" applyFont="1" applyFill="1" applyBorder="1" applyAlignment="1">
      <alignment vertical="center"/>
    </xf>
    <xf numFmtId="3" fontId="48" fillId="5" borderId="110" xfId="0" applyNumberFormat="1" applyFont="1" applyFill="1" applyBorder="1" applyAlignment="1">
      <alignment vertical="center"/>
    </xf>
    <xf numFmtId="3" fontId="48" fillId="5" borderId="56" xfId="0" applyNumberFormat="1" applyFont="1" applyFill="1" applyBorder="1" applyAlignment="1">
      <alignment vertical="center"/>
    </xf>
    <xf numFmtId="3" fontId="48" fillId="7" borderId="160" xfId="0" applyNumberFormat="1" applyFont="1" applyFill="1" applyBorder="1" applyAlignment="1">
      <alignment vertical="center"/>
    </xf>
    <xf numFmtId="3" fontId="48" fillId="7" borderId="64" xfId="0" applyNumberFormat="1" applyFont="1" applyFill="1" applyBorder="1" applyAlignment="1">
      <alignment vertical="center"/>
    </xf>
    <xf numFmtId="3" fontId="48" fillId="7" borderId="4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31" fillId="0" borderId="107" xfId="0" applyNumberFormat="1" applyFont="1" applyBorder="1" applyAlignment="1">
      <alignment vertical="center"/>
    </xf>
    <xf numFmtId="3" fontId="30" fillId="0" borderId="164" xfId="0" applyNumberFormat="1" applyFont="1" applyBorder="1" applyAlignment="1">
      <alignment vertical="center"/>
    </xf>
    <xf numFmtId="3" fontId="30" fillId="0" borderId="165" xfId="0" applyNumberFormat="1" applyFont="1" applyBorder="1" applyAlignment="1">
      <alignment vertical="center"/>
    </xf>
    <xf numFmtId="3" fontId="31" fillId="0" borderId="165" xfId="0" applyNumberFormat="1" applyFont="1" applyBorder="1" applyAlignment="1">
      <alignment vertical="center"/>
    </xf>
    <xf numFmtId="3" fontId="31" fillId="2" borderId="166" xfId="0" applyNumberFormat="1" applyFont="1" applyFill="1" applyBorder="1" applyAlignment="1">
      <alignment vertical="center"/>
    </xf>
    <xf numFmtId="3" fontId="31" fillId="0" borderId="164" xfId="0" applyNumberFormat="1" applyFont="1" applyBorder="1" applyAlignment="1">
      <alignment vertical="center"/>
    </xf>
    <xf numFmtId="3" fontId="30" fillId="0" borderId="107" xfId="0" applyNumberFormat="1" applyFont="1" applyBorder="1" applyAlignment="1">
      <alignment vertical="center"/>
    </xf>
    <xf numFmtId="3" fontId="30" fillId="5" borderId="43" xfId="0" applyNumberFormat="1" applyFont="1" applyFill="1" applyBorder="1" applyAlignment="1">
      <alignment vertical="center"/>
    </xf>
    <xf numFmtId="3" fontId="31" fillId="6" borderId="43" xfId="0" applyNumberFormat="1" applyFont="1" applyFill="1" applyBorder="1" applyAlignment="1">
      <alignment vertical="center"/>
    </xf>
    <xf numFmtId="3" fontId="31" fillId="0" borderId="38" xfId="0" applyNumberFormat="1" applyFont="1" applyBorder="1" applyAlignment="1">
      <alignment vertical="center"/>
    </xf>
    <xf numFmtId="3" fontId="31" fillId="0" borderId="39" xfId="0" applyNumberFormat="1" applyFont="1" applyBorder="1" applyAlignment="1">
      <alignment vertical="center"/>
    </xf>
    <xf numFmtId="3" fontId="31" fillId="0" borderId="57" xfId="0" applyNumberFormat="1" applyFont="1" applyBorder="1" applyAlignment="1">
      <alignment vertical="center"/>
    </xf>
    <xf numFmtId="3" fontId="30" fillId="0" borderId="167" xfId="0" applyNumberFormat="1" applyFont="1" applyBorder="1" applyAlignment="1">
      <alignment vertical="center"/>
    </xf>
    <xf numFmtId="3" fontId="30" fillId="0" borderId="150" xfId="0" applyNumberFormat="1" applyFont="1" applyBorder="1" applyAlignment="1">
      <alignment vertical="center"/>
    </xf>
    <xf numFmtId="3" fontId="30" fillId="0" borderId="151" xfId="0" applyNumberFormat="1" applyFont="1" applyBorder="1" applyAlignment="1">
      <alignment vertical="center"/>
    </xf>
    <xf numFmtId="3" fontId="30" fillId="0" borderId="151" xfId="0" applyNumberFormat="1" applyFont="1" applyFill="1" applyBorder="1" applyAlignment="1">
      <alignment vertical="center"/>
    </xf>
    <xf numFmtId="3" fontId="30" fillId="0" borderId="168" xfId="0" applyNumberFormat="1" applyFont="1" applyBorder="1" applyAlignment="1">
      <alignment vertical="center"/>
    </xf>
    <xf numFmtId="3" fontId="30" fillId="0" borderId="169" xfId="0" applyNumberFormat="1" applyFont="1" applyBorder="1" applyAlignment="1">
      <alignment vertical="center"/>
    </xf>
    <xf numFmtId="3" fontId="30" fillId="0" borderId="153" xfId="0" applyNumberFormat="1" applyFont="1" applyBorder="1" applyAlignment="1">
      <alignment vertical="center"/>
    </xf>
    <xf numFmtId="3" fontId="30" fillId="0" borderId="117" xfId="0" applyNumberFormat="1" applyFont="1" applyBorder="1" applyAlignment="1">
      <alignment vertical="center"/>
    </xf>
    <xf numFmtId="3" fontId="30" fillId="0" borderId="170" xfId="0" applyNumberFormat="1" applyFont="1" applyBorder="1" applyAlignment="1">
      <alignment vertical="center"/>
    </xf>
    <xf numFmtId="3" fontId="3" fillId="0" borderId="170" xfId="0" applyNumberFormat="1" applyFont="1" applyFill="1" applyBorder="1" applyAlignment="1">
      <alignment vertical="center"/>
    </xf>
    <xf numFmtId="3" fontId="30" fillId="0" borderId="171" xfId="0" applyNumberFormat="1" applyFont="1" applyBorder="1" applyAlignment="1">
      <alignment vertical="center"/>
    </xf>
    <xf numFmtId="3" fontId="30" fillId="0" borderId="172" xfId="0" applyNumberFormat="1" applyFont="1" applyBorder="1" applyAlignment="1">
      <alignment vertical="center"/>
    </xf>
    <xf numFmtId="3" fontId="30" fillId="0" borderId="147" xfId="0" applyNumberFormat="1" applyFont="1" applyBorder="1" applyAlignment="1">
      <alignment vertical="center"/>
    </xf>
    <xf numFmtId="3" fontId="3" fillId="0" borderId="173" xfId="0" applyNumberFormat="1" applyFont="1" applyFill="1" applyBorder="1" applyAlignment="1">
      <alignment vertical="center"/>
    </xf>
    <xf numFmtId="3" fontId="31" fillId="0" borderId="148" xfId="0" applyNumberFormat="1" applyFont="1" applyBorder="1" applyAlignment="1">
      <alignment vertical="center"/>
    </xf>
    <xf numFmtId="3" fontId="31" fillId="0" borderId="61" xfId="0" applyNumberFormat="1" applyFont="1" applyBorder="1" applyAlignment="1">
      <alignment vertical="center"/>
    </xf>
    <xf numFmtId="3" fontId="31" fillId="0" borderId="174" xfId="0" applyNumberFormat="1" applyFont="1" applyBorder="1" applyAlignment="1">
      <alignment vertical="center"/>
    </xf>
    <xf numFmtId="3" fontId="31" fillId="0" borderId="118" xfId="0" applyNumberFormat="1" applyFont="1" applyBorder="1" applyAlignment="1">
      <alignment vertical="center"/>
    </xf>
    <xf numFmtId="3" fontId="31" fillId="0" borderId="175" xfId="0" applyNumberFormat="1" applyFont="1" applyBorder="1" applyAlignment="1">
      <alignment vertical="center"/>
    </xf>
    <xf numFmtId="3" fontId="31" fillId="0" borderId="40" xfId="0" applyNumberFormat="1" applyFont="1" applyBorder="1" applyAlignment="1">
      <alignment vertical="center"/>
    </xf>
    <xf numFmtId="3" fontId="31" fillId="0" borderId="41" xfId="0" applyNumberFormat="1" applyFont="1" applyBorder="1" applyAlignment="1">
      <alignment vertical="center"/>
    </xf>
    <xf numFmtId="3" fontId="30" fillId="0" borderId="173" xfId="0" applyNumberFormat="1" applyFont="1" applyBorder="1" applyAlignment="1">
      <alignment vertical="center"/>
    </xf>
    <xf numFmtId="3" fontId="31" fillId="5" borderId="40" xfId="0" applyNumberFormat="1" applyFont="1" applyFill="1" applyBorder="1" applyAlignment="1">
      <alignment vertical="center"/>
    </xf>
    <xf numFmtId="3" fontId="31" fillId="5" borderId="38" xfId="0" applyNumberFormat="1" applyFont="1" applyFill="1" applyBorder="1" applyAlignment="1">
      <alignment vertical="center"/>
    </xf>
    <xf numFmtId="3" fontId="31" fillId="5" borderId="39" xfId="0" applyNumberFormat="1" applyFont="1" applyFill="1" applyBorder="1" applyAlignment="1">
      <alignment vertical="center"/>
    </xf>
    <xf numFmtId="3" fontId="31" fillId="6" borderId="40" xfId="0" applyNumberFormat="1" applyFont="1" applyFill="1" applyBorder="1" applyAlignment="1">
      <alignment vertical="center"/>
    </xf>
    <xf numFmtId="3" fontId="31" fillId="6" borderId="38" xfId="0" applyNumberFormat="1" applyFont="1" applyFill="1" applyBorder="1" applyAlignment="1">
      <alignment vertical="center"/>
    </xf>
    <xf numFmtId="3" fontId="31" fillId="6" borderId="39" xfId="0" applyNumberFormat="1" applyFont="1" applyFill="1" applyBorder="1" applyAlignment="1">
      <alignment vertical="center"/>
    </xf>
    <xf numFmtId="3" fontId="26" fillId="0" borderId="29" xfId="0" applyNumberFormat="1" applyFont="1" applyBorder="1" applyAlignment="1">
      <alignment vertical="center"/>
    </xf>
    <xf numFmtId="3" fontId="26" fillId="0" borderId="27" xfId="0" applyNumberFormat="1" applyFont="1" applyBorder="1" applyAlignment="1">
      <alignment vertical="center"/>
    </xf>
    <xf numFmtId="3" fontId="24" fillId="0" borderId="27" xfId="0" applyNumberFormat="1" applyFont="1" applyBorder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3" fontId="75" fillId="0" borderId="29" xfId="0" applyNumberFormat="1" applyFont="1" applyFill="1" applyBorder="1" applyAlignment="1">
      <alignment vertical="center"/>
    </xf>
    <xf numFmtId="3" fontId="55" fillId="0" borderId="29" xfId="0" applyNumberFormat="1" applyFont="1" applyFill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29" xfId="0" applyNumberFormat="1" applyFont="1" applyFill="1" applyBorder="1" applyAlignment="1">
      <alignment vertical="center"/>
    </xf>
    <xf numFmtId="3" fontId="76" fillId="0" borderId="29" xfId="0" applyNumberFormat="1" applyFont="1" applyFill="1" applyBorder="1" applyAlignment="1">
      <alignment vertical="center"/>
    </xf>
    <xf numFmtId="3" fontId="68" fillId="0" borderId="29" xfId="0" applyNumberFormat="1" applyFont="1" applyBorder="1" applyAlignment="1">
      <alignment vertical="center"/>
    </xf>
    <xf numFmtId="3" fontId="26" fillId="0" borderId="29" xfId="0" applyNumberFormat="1" applyFont="1" applyFill="1" applyBorder="1" applyAlignment="1">
      <alignment vertical="center"/>
    </xf>
    <xf numFmtId="3" fontId="27" fillId="0" borderId="29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75" fillId="0" borderId="29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horizontal="center" vertical="center"/>
    </xf>
    <xf numFmtId="3" fontId="55" fillId="0" borderId="29" xfId="0" applyNumberFormat="1" applyFont="1" applyBorder="1" applyAlignment="1">
      <alignment vertical="center"/>
    </xf>
    <xf numFmtId="3" fontId="77" fillId="0" borderId="29" xfId="0" applyNumberFormat="1" applyFont="1" applyFill="1" applyBorder="1" applyAlignment="1">
      <alignment vertical="center"/>
    </xf>
    <xf numFmtId="3" fontId="71" fillId="0" borderId="29" xfId="0" applyNumberFormat="1" applyFont="1" applyFill="1" applyBorder="1" applyAlignment="1">
      <alignment vertical="center"/>
    </xf>
    <xf numFmtId="3" fontId="69" fillId="0" borderId="29" xfId="0" applyNumberFormat="1" applyFont="1" applyFill="1" applyBorder="1" applyAlignment="1">
      <alignment vertical="center"/>
    </xf>
    <xf numFmtId="3" fontId="4" fillId="0" borderId="29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3" fontId="5" fillId="0" borderId="176" xfId="0" applyNumberFormat="1" applyFont="1" applyFill="1" applyBorder="1" applyAlignment="1">
      <alignment vertical="center"/>
    </xf>
    <xf numFmtId="3" fontId="14" fillId="0" borderId="97" xfId="0" applyNumberFormat="1" applyFont="1" applyFill="1" applyBorder="1" applyAlignment="1">
      <alignment vertical="center"/>
    </xf>
    <xf numFmtId="3" fontId="10" fillId="0" borderId="177" xfId="0" applyNumberFormat="1" applyFont="1" applyFill="1" applyBorder="1" applyAlignment="1">
      <alignment vertical="center"/>
    </xf>
    <xf numFmtId="3" fontId="13" fillId="0" borderId="125" xfId="0" applyNumberFormat="1" applyFont="1" applyFill="1" applyBorder="1" applyAlignment="1">
      <alignment vertical="center"/>
    </xf>
    <xf numFmtId="3" fontId="5" fillId="0" borderId="145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3" fontId="5" fillId="0" borderId="155" xfId="0" applyNumberFormat="1" applyFont="1" applyFill="1" applyBorder="1" applyAlignment="1">
      <alignment vertical="center"/>
    </xf>
    <xf numFmtId="3" fontId="5" fillId="0" borderId="156" xfId="0" applyNumberFormat="1" applyFont="1" applyFill="1" applyBorder="1" applyAlignment="1">
      <alignment vertical="center"/>
    </xf>
    <xf numFmtId="3" fontId="5" fillId="0" borderId="178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3" fontId="5" fillId="0" borderId="69" xfId="0" applyNumberFormat="1" applyFont="1" applyFill="1" applyBorder="1" applyAlignment="1">
      <alignment vertical="center"/>
    </xf>
    <xf numFmtId="3" fontId="13" fillId="0" borderId="97" xfId="0" applyNumberFormat="1" applyFont="1" applyFill="1" applyBorder="1" applyAlignment="1">
      <alignment vertical="center"/>
    </xf>
    <xf numFmtId="3" fontId="13" fillId="0" borderId="177" xfId="0" applyNumberFormat="1" applyFont="1" applyFill="1" applyBorder="1" applyAlignment="1">
      <alignment vertical="center"/>
    </xf>
    <xf numFmtId="3" fontId="13" fillId="0" borderId="51" xfId="0" applyNumberFormat="1" applyFont="1" applyFill="1" applyBorder="1" applyAlignment="1">
      <alignment vertical="center"/>
    </xf>
    <xf numFmtId="3" fontId="10" fillId="0" borderId="97" xfId="0" applyNumberFormat="1" applyFont="1" applyFill="1" applyBorder="1" applyAlignment="1">
      <alignment vertical="center"/>
    </xf>
    <xf numFmtId="3" fontId="10" fillId="0" borderId="178" xfId="0" applyNumberFormat="1" applyFont="1" applyBorder="1" applyAlignment="1">
      <alignment vertical="center"/>
    </xf>
    <xf numFmtId="3" fontId="10" fillId="0" borderId="179" xfId="0" applyNumberFormat="1" applyFont="1" applyBorder="1" applyAlignment="1">
      <alignment vertical="center"/>
    </xf>
    <xf numFmtId="164" fontId="26" fillId="0" borderId="27" xfId="0" applyNumberFormat="1" applyFont="1" applyBorder="1" applyAlignment="1">
      <alignment vertical="center" wrapText="1"/>
    </xf>
    <xf numFmtId="3" fontId="8" fillId="2" borderId="17" xfId="7" applyNumberFormat="1" applyFont="1" applyFill="1" applyBorder="1" applyAlignment="1">
      <alignment wrapText="1"/>
    </xf>
    <xf numFmtId="3" fontId="8" fillId="0" borderId="48" xfId="7" applyNumberFormat="1" applyFont="1" applyBorder="1" applyAlignment="1">
      <alignment horizontal="center" wrapText="1"/>
    </xf>
    <xf numFmtId="3" fontId="8" fillId="0" borderId="180" xfId="7" applyNumberFormat="1" applyFont="1" applyBorder="1" applyAlignment="1">
      <alignment horizontal="center"/>
    </xf>
    <xf numFmtId="3" fontId="8" fillId="0" borderId="41" xfId="7" applyNumberFormat="1" applyFont="1" applyBorder="1" applyAlignment="1">
      <alignment horizontal="center"/>
    </xf>
    <xf numFmtId="3" fontId="22" fillId="0" borderId="28" xfId="8" applyNumberFormat="1" applyFont="1" applyBorder="1"/>
    <xf numFmtId="3" fontId="23" fillId="0" borderId="28" xfId="8" applyNumberFormat="1" applyFont="1" applyFill="1" applyBorder="1" applyAlignment="1">
      <alignment horizontal="right"/>
    </xf>
    <xf numFmtId="3" fontId="23" fillId="0" borderId="28" xfId="8" applyNumberFormat="1" applyFont="1" applyBorder="1" applyAlignment="1">
      <alignment horizontal="right"/>
    </xf>
    <xf numFmtId="3" fontId="23" fillId="0" borderId="76" xfId="8" applyNumberFormat="1" applyFont="1" applyBorder="1"/>
    <xf numFmtId="3" fontId="23" fillId="0" borderId="74" xfId="8" applyNumberFormat="1" applyFont="1" applyBorder="1"/>
    <xf numFmtId="3" fontId="22" fillId="0" borderId="62" xfId="8" applyNumberFormat="1" applyFont="1" applyBorder="1"/>
    <xf numFmtId="3" fontId="23" fillId="0" borderId="62" xfId="8" applyNumberFormat="1" applyFont="1" applyFill="1" applyBorder="1" applyAlignment="1">
      <alignment horizontal="right"/>
    </xf>
    <xf numFmtId="3" fontId="23" fillId="0" borderId="62" xfId="8" applyNumberFormat="1" applyFont="1" applyBorder="1" applyAlignment="1">
      <alignment horizontal="right"/>
    </xf>
    <xf numFmtId="3" fontId="23" fillId="0" borderId="181" xfId="8" applyNumberFormat="1" applyFont="1" applyBorder="1"/>
    <xf numFmtId="3" fontId="23" fillId="0" borderId="123" xfId="8" applyNumberFormat="1" applyFont="1" applyBorder="1"/>
    <xf numFmtId="3" fontId="22" fillId="0" borderId="64" xfId="8" applyNumberFormat="1" applyFont="1" applyBorder="1"/>
    <xf numFmtId="3" fontId="22" fillId="0" borderId="49" xfId="8" applyNumberFormat="1" applyFont="1" applyBorder="1"/>
    <xf numFmtId="3" fontId="22" fillId="0" borderId="51" xfId="8" applyNumberFormat="1" applyFont="1" applyBorder="1"/>
    <xf numFmtId="3" fontId="23" fillId="0" borderId="51" xfId="8" applyNumberFormat="1" applyFont="1" applyBorder="1" applyAlignment="1">
      <alignment horizontal="right"/>
    </xf>
    <xf numFmtId="3" fontId="23" fillId="0" borderId="182" xfId="8" applyNumberFormat="1" applyFont="1" applyBorder="1"/>
    <xf numFmtId="3" fontId="23" fillId="0" borderId="73" xfId="8" applyNumberFormat="1" applyFont="1" applyBorder="1"/>
    <xf numFmtId="3" fontId="22" fillId="0" borderId="28" xfId="8" applyNumberFormat="1" applyFont="1" applyBorder="1" applyAlignment="1"/>
    <xf numFmtId="3" fontId="22" fillId="0" borderId="62" xfId="8" applyNumberFormat="1" applyFont="1" applyBorder="1" applyAlignment="1"/>
    <xf numFmtId="3" fontId="11" fillId="0" borderId="29" xfId="0" applyNumberFormat="1" applyFont="1" applyBorder="1"/>
    <xf numFmtId="3" fontId="11" fillId="0" borderId="53" xfId="0" applyNumberFormat="1" applyFont="1" applyBorder="1"/>
    <xf numFmtId="3" fontId="22" fillId="0" borderId="183" xfId="8" applyNumberFormat="1" applyFont="1" applyBorder="1" applyAlignment="1"/>
    <xf numFmtId="3" fontId="22" fillId="0" borderId="80" xfId="8" applyNumberFormat="1" applyFont="1" applyBorder="1" applyAlignment="1"/>
    <xf numFmtId="3" fontId="22" fillId="0" borderId="71" xfId="8" applyNumberFormat="1" applyFont="1" applyBorder="1" applyAlignment="1"/>
    <xf numFmtId="3" fontId="11" fillId="0" borderId="0" xfId="0" applyNumberFormat="1" applyFont="1"/>
    <xf numFmtId="3" fontId="67" fillId="0" borderId="0" xfId="0" applyNumberFormat="1" applyFont="1"/>
    <xf numFmtId="3" fontId="1" fillId="0" borderId="0" xfId="0" applyNumberFormat="1" applyFont="1"/>
    <xf numFmtId="3" fontId="38" fillId="0" borderId="29" xfId="0" applyNumberFormat="1" applyFont="1" applyBorder="1"/>
    <xf numFmtId="3" fontId="36" fillId="0" borderId="29" xfId="0" applyNumberFormat="1" applyFont="1" applyBorder="1"/>
    <xf numFmtId="3" fontId="36" fillId="0" borderId="0" xfId="0" applyNumberFormat="1" applyFont="1" applyBorder="1"/>
    <xf numFmtId="3" fontId="36" fillId="0" borderId="29" xfId="0" applyNumberFormat="1" applyFont="1" applyBorder="1" applyAlignment="1">
      <alignment horizontal="right"/>
    </xf>
    <xf numFmtId="3" fontId="36" fillId="0" borderId="0" xfId="0" applyNumberFormat="1" applyFont="1"/>
    <xf numFmtId="3" fontId="36" fillId="0" borderId="29" xfId="0" applyNumberFormat="1" applyFont="1" applyFill="1" applyBorder="1" applyAlignment="1">
      <alignment horizontal="right"/>
    </xf>
    <xf numFmtId="3" fontId="36" fillId="0" borderId="29" xfId="0" applyNumberFormat="1" applyFont="1" applyFill="1" applyBorder="1"/>
    <xf numFmtId="3" fontId="38" fillId="0" borderId="29" xfId="0" applyNumberFormat="1" applyFont="1" applyBorder="1" applyAlignment="1"/>
    <xf numFmtId="3" fontId="38" fillId="0" borderId="29" xfId="0" applyNumberFormat="1" applyFont="1" applyFill="1" applyBorder="1" applyAlignment="1"/>
    <xf numFmtId="3" fontId="41" fillId="0" borderId="29" xfId="0" applyNumberFormat="1" applyFont="1" applyBorder="1" applyAlignment="1">
      <alignment vertical="center"/>
    </xf>
    <xf numFmtId="3" fontId="41" fillId="0" borderId="0" xfId="0" applyNumberFormat="1" applyFont="1" applyAlignment="1">
      <alignment vertical="center"/>
    </xf>
    <xf numFmtId="3" fontId="36" fillId="0" borderId="29" xfId="0" applyNumberFormat="1" applyFont="1" applyBorder="1" applyAlignment="1">
      <alignment vertical="center"/>
    </xf>
    <xf numFmtId="3" fontId="3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23" fillId="0" borderId="51" xfId="8" applyNumberFormat="1" applyFont="1" applyBorder="1"/>
    <xf numFmtId="3" fontId="23" fillId="0" borderId="75" xfId="8" applyNumberFormat="1" applyFont="1" applyBorder="1"/>
    <xf numFmtId="3" fontId="23" fillId="0" borderId="28" xfId="8" applyNumberFormat="1" applyFont="1" applyBorder="1"/>
    <xf numFmtId="3" fontId="22" fillId="0" borderId="76" xfId="8" applyNumberFormat="1" applyFont="1" applyBorder="1"/>
    <xf numFmtId="3" fontId="22" fillId="0" borderId="74" xfId="8" applyNumberFormat="1" applyFont="1" applyBorder="1"/>
    <xf numFmtId="3" fontId="22" fillId="0" borderId="76" xfId="8" applyNumberFormat="1" applyFont="1" applyBorder="1" applyAlignment="1"/>
    <xf numFmtId="3" fontId="22" fillId="0" borderId="74" xfId="8" applyNumberFormat="1" applyFont="1" applyBorder="1" applyAlignment="1"/>
    <xf numFmtId="3" fontId="22" fillId="0" borderId="184" xfId="8" applyNumberFormat="1" applyFont="1" applyBorder="1" applyAlignment="1"/>
    <xf numFmtId="3" fontId="22" fillId="0" borderId="185" xfId="8" applyNumberFormat="1" applyFont="1" applyBorder="1" applyAlignment="1"/>
    <xf numFmtId="3" fontId="22" fillId="0" borderId="186" xfId="8" applyNumberFormat="1" applyFont="1" applyBorder="1" applyAlignment="1"/>
    <xf numFmtId="3" fontId="22" fillId="0" borderId="187" xfId="8" applyNumberFormat="1" applyFont="1" applyBorder="1"/>
    <xf numFmtId="3" fontId="22" fillId="0" borderId="188" xfId="8" applyNumberFormat="1" applyFont="1" applyBorder="1"/>
    <xf numFmtId="3" fontId="23" fillId="0" borderId="187" xfId="8" applyNumberFormat="1" applyFont="1" applyBorder="1"/>
    <xf numFmtId="3" fontId="23" fillId="0" borderId="189" xfId="8" applyNumberFormat="1" applyFont="1" applyBorder="1"/>
    <xf numFmtId="3" fontId="23" fillId="0" borderId="188" xfId="8" applyNumberFormat="1" applyFont="1" applyBorder="1"/>
    <xf numFmtId="3" fontId="23" fillId="0" borderId="190" xfId="8" applyNumberFormat="1" applyFont="1" applyBorder="1"/>
    <xf numFmtId="3" fontId="23" fillId="0" borderId="191" xfId="8" applyNumberFormat="1" applyFont="1" applyBorder="1"/>
    <xf numFmtId="3" fontId="23" fillId="0" borderId="192" xfId="8" applyNumberFormat="1" applyFont="1" applyBorder="1"/>
    <xf numFmtId="3" fontId="23" fillId="0" borderId="169" xfId="8" applyNumberFormat="1" applyFont="1" applyBorder="1" applyAlignment="1">
      <alignment horizontal="right"/>
    </xf>
    <xf numFmtId="3" fontId="23" fillId="0" borderId="129" xfId="8" applyNumberFormat="1" applyFont="1" applyBorder="1" applyAlignment="1">
      <alignment horizontal="right"/>
    </xf>
    <xf numFmtId="3" fontId="23" fillId="0" borderId="101" xfId="8" applyNumberFormat="1" applyFont="1" applyBorder="1" applyAlignment="1">
      <alignment horizontal="right"/>
    </xf>
    <xf numFmtId="3" fontId="23" fillId="0" borderId="85" xfId="8" applyNumberFormat="1" applyFont="1" applyBorder="1" applyAlignment="1">
      <alignment horizontal="right"/>
    </xf>
    <xf numFmtId="3" fontId="23" fillId="0" borderId="20" xfId="8" applyNumberFormat="1" applyFont="1" applyBorder="1" applyAlignment="1">
      <alignment horizontal="right"/>
    </xf>
    <xf numFmtId="3" fontId="23" fillId="0" borderId="169" xfId="8" applyNumberFormat="1" applyFont="1" applyBorder="1"/>
    <xf numFmtId="3" fontId="23" fillId="0" borderId="129" xfId="8" applyNumberFormat="1" applyFont="1" applyBorder="1"/>
    <xf numFmtId="3" fontId="23" fillId="0" borderId="101" xfId="8" applyNumberFormat="1" applyFont="1" applyBorder="1"/>
    <xf numFmtId="3" fontId="23" fillId="0" borderId="85" xfId="8" applyNumberFormat="1" applyFont="1" applyBorder="1"/>
    <xf numFmtId="3" fontId="23" fillId="0" borderId="20" xfId="8" applyNumberFormat="1" applyFont="1" applyBorder="1"/>
    <xf numFmtId="3" fontId="23" fillId="0" borderId="171" xfId="8" applyNumberFormat="1" applyFont="1" applyBorder="1" applyAlignment="1">
      <alignment horizontal="right"/>
    </xf>
    <xf numFmtId="3" fontId="23" fillId="0" borderId="63" xfId="8" applyNumberFormat="1" applyFont="1" applyBorder="1" applyAlignment="1">
      <alignment horizontal="right"/>
    </xf>
    <xf numFmtId="3" fontId="23" fillId="0" borderId="102" xfId="8" applyNumberFormat="1" applyFont="1" applyBorder="1" applyAlignment="1">
      <alignment horizontal="right"/>
    </xf>
    <xf numFmtId="3" fontId="23" fillId="0" borderId="86" xfId="8" applyNumberFormat="1" applyFont="1" applyBorder="1" applyAlignment="1">
      <alignment horizontal="right"/>
    </xf>
    <xf numFmtId="3" fontId="23" fillId="0" borderId="18" xfId="8" applyNumberFormat="1" applyFont="1" applyBorder="1" applyAlignment="1">
      <alignment horizontal="right"/>
    </xf>
    <xf numFmtId="3" fontId="22" fillId="0" borderId="48" xfId="8" applyNumberFormat="1" applyFont="1" applyBorder="1"/>
    <xf numFmtId="3" fontId="22" fillId="0" borderId="43" xfId="8" applyNumberFormat="1" applyFont="1" applyBorder="1"/>
    <xf numFmtId="3" fontId="22" fillId="0" borderId="57" xfId="8" applyNumberFormat="1" applyFont="1" applyBorder="1"/>
    <xf numFmtId="3" fontId="22" fillId="0" borderId="106" xfId="8" applyNumberFormat="1" applyFont="1" applyBorder="1"/>
    <xf numFmtId="3" fontId="22" fillId="0" borderId="180" xfId="8" applyNumberFormat="1" applyFont="1" applyBorder="1"/>
    <xf numFmtId="3" fontId="22" fillId="0" borderId="41" xfId="8" applyNumberFormat="1" applyFont="1" applyBorder="1"/>
    <xf numFmtId="3" fontId="23" fillId="0" borderId="61" xfId="8" applyNumberFormat="1" applyFont="1" applyBorder="1" applyAlignment="1">
      <alignment horizontal="right"/>
    </xf>
    <xf numFmtId="3" fontId="23" fillId="0" borderId="193" xfId="8" applyNumberFormat="1" applyFont="1" applyBorder="1" applyAlignment="1">
      <alignment horizontal="right"/>
    </xf>
    <xf numFmtId="3" fontId="23" fillId="0" borderId="69" xfId="8" applyNumberFormat="1" applyFont="1" applyBorder="1" applyAlignment="1">
      <alignment horizontal="right"/>
    </xf>
    <xf numFmtId="3" fontId="23" fillId="0" borderId="176" xfId="8" applyNumberFormat="1" applyFont="1" applyBorder="1" applyAlignment="1">
      <alignment horizontal="right"/>
    </xf>
    <xf numFmtId="3" fontId="23" fillId="0" borderId="87" xfId="8" applyNumberFormat="1" applyFont="1" applyBorder="1" applyAlignment="1">
      <alignment horizontal="right"/>
    </xf>
    <xf numFmtId="3" fontId="23" fillId="0" borderId="68" xfId="8" applyNumberFormat="1" applyFont="1" applyBorder="1" applyAlignment="1">
      <alignment horizontal="right"/>
    </xf>
    <xf numFmtId="3" fontId="23" fillId="0" borderId="194" xfId="8" applyNumberFormat="1" applyFont="1" applyBorder="1"/>
    <xf numFmtId="3" fontId="23" fillId="0" borderId="56" xfId="8" applyNumberFormat="1" applyFont="1" applyBorder="1"/>
    <xf numFmtId="3" fontId="22" fillId="0" borderId="48" xfId="8" applyNumberFormat="1" applyFont="1" applyBorder="1" applyAlignment="1"/>
    <xf numFmtId="3" fontId="22" fillId="0" borderId="68" xfId="8" applyNumberFormat="1" applyFont="1" applyBorder="1" applyAlignment="1"/>
    <xf numFmtId="3" fontId="22" fillId="0" borderId="176" xfId="8" applyNumberFormat="1" applyFont="1" applyBorder="1" applyAlignment="1"/>
    <xf numFmtId="3" fontId="22" fillId="0" borderId="61" xfId="8" applyNumberFormat="1" applyFont="1" applyBorder="1" applyAlignment="1"/>
    <xf numFmtId="3" fontId="22" fillId="0" borderId="193" xfId="8" applyNumberFormat="1" applyFont="1" applyBorder="1" applyAlignment="1"/>
    <xf numFmtId="3" fontId="22" fillId="0" borderId="69" xfId="8" applyNumberFormat="1" applyFont="1" applyBorder="1" applyAlignment="1"/>
    <xf numFmtId="3" fontId="22" fillId="0" borderId="87" xfId="8" applyNumberFormat="1" applyFont="1" applyBorder="1" applyAlignment="1"/>
    <xf numFmtId="3" fontId="22" fillId="0" borderId="194" xfId="8" applyNumberFormat="1" applyFont="1" applyBorder="1" applyAlignment="1"/>
    <xf numFmtId="3" fontId="22" fillId="0" borderId="56" xfId="8" applyNumberFormat="1" applyFont="1" applyBorder="1" applyAlignment="1"/>
    <xf numFmtId="3" fontId="22" fillId="0" borderId="64" xfId="8" applyNumberFormat="1" applyFont="1" applyBorder="1" applyAlignment="1"/>
    <xf numFmtId="3" fontId="22" fillId="0" borderId="106" xfId="8" applyNumberFormat="1" applyFont="1" applyBorder="1" applyAlignment="1"/>
    <xf numFmtId="3" fontId="22" fillId="0" borderId="180" xfId="8" applyNumberFormat="1" applyFont="1" applyBorder="1" applyAlignment="1"/>
    <xf numFmtId="3" fontId="22" fillId="0" borderId="41" xfId="8" applyNumberFormat="1" applyFont="1" applyBorder="1" applyAlignment="1"/>
    <xf numFmtId="3" fontId="22" fillId="0" borderId="49" xfId="8" applyNumberFormat="1" applyFont="1" applyBorder="1" applyAlignment="1"/>
    <xf numFmtId="3" fontId="22" fillId="0" borderId="57" xfId="8" applyNumberFormat="1" applyFont="1" applyBorder="1" applyAlignment="1"/>
    <xf numFmtId="3" fontId="22" fillId="0" borderId="105" xfId="8" applyNumberFormat="1" applyFont="1" applyBorder="1" applyAlignment="1"/>
    <xf numFmtId="3" fontId="22" fillId="0" borderId="40" xfId="8" applyNumberFormat="1" applyFont="1" applyBorder="1"/>
    <xf numFmtId="3" fontId="22" fillId="0" borderId="101" xfId="8" applyNumberFormat="1" applyFont="1" applyBorder="1"/>
    <xf numFmtId="3" fontId="22" fillId="0" borderId="195" xfId="8" applyNumberFormat="1" applyFont="1" applyBorder="1"/>
    <xf numFmtId="3" fontId="22" fillId="0" borderId="71" xfId="8" applyNumberFormat="1" applyFont="1" applyBorder="1"/>
    <xf numFmtId="3" fontId="22" fillId="0" borderId="56" xfId="8" applyNumberFormat="1" applyFont="1" applyBorder="1"/>
    <xf numFmtId="3" fontId="22" fillId="0" borderId="169" xfId="8" applyNumberFormat="1" applyFont="1" applyBorder="1"/>
    <xf numFmtId="3" fontId="22" fillId="0" borderId="196" xfId="8" applyNumberFormat="1" applyFont="1" applyBorder="1"/>
    <xf numFmtId="3" fontId="22" fillId="0" borderId="83" xfId="8" applyNumberFormat="1" applyFont="1" applyBorder="1"/>
    <xf numFmtId="3" fontId="22" fillId="0" borderId="61" xfId="8" applyNumberFormat="1" applyFont="1" applyBorder="1"/>
    <xf numFmtId="3" fontId="22" fillId="0" borderId="83" xfId="8" applyNumberFormat="1" applyFont="1" applyBorder="1" applyAlignment="1"/>
    <xf numFmtId="3" fontId="22" fillId="0" borderId="43" xfId="8" applyNumberFormat="1" applyFont="1" applyBorder="1" applyAlignment="1"/>
    <xf numFmtId="3" fontId="23" fillId="0" borderId="194" xfId="8" applyNumberFormat="1" applyFont="1" applyBorder="1" applyAlignment="1">
      <alignment horizontal="right"/>
    </xf>
    <xf numFmtId="3" fontId="22" fillId="0" borderId="69" xfId="8" applyNumberFormat="1" applyFont="1" applyBorder="1"/>
    <xf numFmtId="3" fontId="25" fillId="0" borderId="0" xfId="0" applyNumberFormat="1" applyFont="1" applyFill="1"/>
    <xf numFmtId="3" fontId="22" fillId="0" borderId="28" xfId="8" applyNumberFormat="1" applyFont="1" applyFill="1" applyBorder="1"/>
    <xf numFmtId="3" fontId="23" fillId="0" borderId="76" xfId="8" applyNumberFormat="1" applyFont="1" applyFill="1" applyBorder="1"/>
    <xf numFmtId="3" fontId="23" fillId="0" borderId="74" xfId="8" applyNumberFormat="1" applyFont="1" applyFill="1" applyBorder="1"/>
    <xf numFmtId="3" fontId="18" fillId="0" borderId="51" xfId="0" applyNumberFormat="1" applyFont="1" applyBorder="1" applyAlignment="1">
      <alignment horizontal="right" vertical="center" wrapText="1"/>
    </xf>
    <xf numFmtId="3" fontId="18" fillId="0" borderId="128" xfId="0" applyNumberFormat="1" applyFont="1" applyBorder="1" applyAlignment="1">
      <alignment horizontal="right" vertical="center" wrapText="1"/>
    </xf>
    <xf numFmtId="3" fontId="18" fillId="0" borderId="28" xfId="0" applyNumberFormat="1" applyFont="1" applyBorder="1" applyAlignment="1">
      <alignment horizontal="right" vertical="center" wrapText="1"/>
    </xf>
    <xf numFmtId="3" fontId="18" fillId="0" borderId="129" xfId="0" applyNumberFormat="1" applyFont="1" applyBorder="1" applyAlignment="1">
      <alignment horizontal="right" vertical="center" wrapText="1"/>
    </xf>
    <xf numFmtId="3" fontId="17" fillId="0" borderId="28" xfId="0" applyNumberFormat="1" applyFont="1" applyBorder="1" applyAlignment="1">
      <alignment horizontal="right" vertical="center" wrapText="1"/>
    </xf>
    <xf numFmtId="3" fontId="17" fillId="0" borderId="129" xfId="0" applyNumberFormat="1" applyFont="1" applyBorder="1" applyAlignment="1">
      <alignment horizontal="right" vertical="center" wrapText="1"/>
    </xf>
    <xf numFmtId="3" fontId="18" fillId="0" borderId="62" xfId="0" applyNumberFormat="1" applyFont="1" applyBorder="1" applyAlignment="1">
      <alignment horizontal="right" vertical="center" wrapText="1"/>
    </xf>
    <xf numFmtId="3" fontId="18" fillId="0" borderId="63" xfId="0" applyNumberFormat="1" applyFont="1" applyBorder="1" applyAlignment="1">
      <alignment horizontal="right" vertical="center" wrapText="1"/>
    </xf>
    <xf numFmtId="3" fontId="18" fillId="0" borderId="64" xfId="0" applyNumberFormat="1" applyFont="1" applyBorder="1" applyAlignment="1">
      <alignment horizontal="right" vertical="center" wrapText="1"/>
    </xf>
    <xf numFmtId="3" fontId="18" fillId="0" borderId="49" xfId="0" applyNumberFormat="1" applyFont="1" applyBorder="1" applyAlignment="1">
      <alignment horizontal="right" vertical="center" wrapText="1"/>
    </xf>
    <xf numFmtId="3" fontId="18" fillId="0" borderId="183" xfId="0" applyNumberFormat="1" applyFont="1" applyBorder="1"/>
    <xf numFmtId="3" fontId="18" fillId="0" borderId="197" xfId="0" applyNumberFormat="1" applyFont="1" applyBorder="1"/>
    <xf numFmtId="3" fontId="7" fillId="0" borderId="198" xfId="0" applyNumberFormat="1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3" fontId="7" fillId="0" borderId="199" xfId="0" applyNumberFormat="1" applyFont="1" applyFill="1" applyBorder="1" applyAlignment="1">
      <alignment vertical="center"/>
    </xf>
    <xf numFmtId="3" fontId="7" fillId="0" borderId="41" xfId="0" applyNumberFormat="1" applyFont="1" applyBorder="1" applyAlignment="1">
      <alignment vertical="center"/>
    </xf>
    <xf numFmtId="3" fontId="7" fillId="0" borderId="200" xfId="0" applyNumberFormat="1" applyFont="1" applyBorder="1" applyAlignment="1">
      <alignment vertical="center"/>
    </xf>
    <xf numFmtId="3" fontId="7" fillId="0" borderId="65" xfId="0" applyNumberFormat="1" applyFont="1" applyBorder="1" applyAlignment="1">
      <alignment vertical="center"/>
    </xf>
    <xf numFmtId="3" fontId="7" fillId="0" borderId="53" xfId="0" applyNumberFormat="1" applyFont="1" applyBorder="1" applyAlignment="1">
      <alignment vertical="center"/>
    </xf>
    <xf numFmtId="3" fontId="7" fillId="0" borderId="55" xfId="0" applyNumberFormat="1" applyFont="1" applyBorder="1" applyAlignment="1">
      <alignment vertical="center"/>
    </xf>
    <xf numFmtId="3" fontId="7" fillId="0" borderId="54" xfId="0" applyNumberFormat="1" applyFont="1" applyBorder="1" applyAlignment="1">
      <alignment vertical="center"/>
    </xf>
    <xf numFmtId="3" fontId="17" fillId="0" borderId="29" xfId="0" applyNumberFormat="1" applyFont="1" applyBorder="1"/>
    <xf numFmtId="3" fontId="8" fillId="0" borderId="41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162" xfId="0" applyNumberFormat="1" applyFont="1" applyBorder="1" applyAlignment="1">
      <alignment vertical="center"/>
    </xf>
    <xf numFmtId="3" fontId="9" fillId="0" borderId="41" xfId="0" applyNumberFormat="1" applyFont="1" applyBorder="1" applyAlignment="1">
      <alignment vertical="center"/>
    </xf>
    <xf numFmtId="3" fontId="7" fillId="0" borderId="56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vertical="center"/>
    </xf>
    <xf numFmtId="3" fontId="4" fillId="0" borderId="201" xfId="0" applyNumberFormat="1" applyFont="1" applyBorder="1" applyAlignment="1">
      <alignment vertical="center"/>
    </xf>
    <xf numFmtId="3" fontId="7" fillId="0" borderId="124" xfId="0" applyNumberFormat="1" applyFont="1" applyBorder="1" applyAlignment="1">
      <alignment vertical="center"/>
    </xf>
    <xf numFmtId="3" fontId="4" fillId="0" borderId="202" xfId="0" applyNumberFormat="1" applyFont="1" applyBorder="1" applyAlignment="1">
      <alignment vertical="center"/>
    </xf>
    <xf numFmtId="3" fontId="4" fillId="0" borderId="66" xfId="0" applyNumberFormat="1" applyFont="1" applyBorder="1" applyAlignment="1">
      <alignment vertical="center"/>
    </xf>
    <xf numFmtId="3" fontId="9" fillId="0" borderId="55" xfId="0" applyNumberFormat="1" applyFont="1" applyBorder="1" applyAlignment="1">
      <alignment vertical="center"/>
    </xf>
    <xf numFmtId="3" fontId="9" fillId="0" borderId="29" xfId="0" applyNumberFormat="1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66" xfId="0" applyNumberFormat="1" applyFont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8" fillId="0" borderId="54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3" fontId="7" fillId="0" borderId="203" xfId="0" applyNumberFormat="1" applyFont="1" applyBorder="1" applyAlignment="1">
      <alignment vertical="center"/>
    </xf>
    <xf numFmtId="3" fontId="7" fillId="0" borderId="204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0" borderId="29" xfId="0" applyNumberFormat="1" applyFont="1" applyBorder="1" applyAlignment="1">
      <alignment vertical="center"/>
    </xf>
    <xf numFmtId="3" fontId="7" fillId="0" borderId="205" xfId="0" applyNumberFormat="1" applyFont="1" applyBorder="1" applyAlignment="1">
      <alignment vertical="center"/>
    </xf>
    <xf numFmtId="3" fontId="7" fillId="0" borderId="66" xfId="0" applyNumberFormat="1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vertical="center"/>
    </xf>
    <xf numFmtId="3" fontId="9" fillId="0" borderId="39" xfId="0" applyNumberFormat="1" applyFont="1" applyBorder="1" applyAlignment="1">
      <alignment vertical="center"/>
    </xf>
    <xf numFmtId="3" fontId="7" fillId="0" borderId="206" xfId="0" applyNumberFormat="1" applyFont="1" applyBorder="1" applyAlignment="1">
      <alignment vertical="center"/>
    </xf>
    <xf numFmtId="3" fontId="7" fillId="0" borderId="202" xfId="0" applyNumberFormat="1" applyFont="1" applyBorder="1" applyAlignment="1">
      <alignment vertical="center"/>
    </xf>
    <xf numFmtId="3" fontId="4" fillId="0" borderId="31" xfId="0" applyNumberFormat="1" applyFont="1" applyBorder="1"/>
    <xf numFmtId="3" fontId="4" fillId="0" borderId="29" xfId="0" applyNumberFormat="1" applyFont="1" applyBorder="1"/>
    <xf numFmtId="3" fontId="4" fillId="0" borderId="65" xfId="0" applyNumberFormat="1" applyFont="1" applyBorder="1"/>
    <xf numFmtId="3" fontId="7" fillId="0" borderId="199" xfId="0" applyNumberFormat="1" applyFont="1" applyBorder="1" applyAlignment="1">
      <alignment vertical="center"/>
    </xf>
    <xf numFmtId="3" fontId="4" fillId="0" borderId="134" xfId="0" applyNumberFormat="1" applyFont="1" applyBorder="1" applyAlignment="1">
      <alignment vertical="center"/>
    </xf>
    <xf numFmtId="3" fontId="4" fillId="0" borderId="205" xfId="0" applyNumberFormat="1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3" fontId="8" fillId="0" borderId="38" xfId="0" applyNumberFormat="1" applyFont="1" applyBorder="1" applyAlignment="1">
      <alignment vertical="center"/>
    </xf>
    <xf numFmtId="3" fontId="8" fillId="0" borderId="39" xfId="0" applyNumberFormat="1" applyFont="1" applyBorder="1" applyAlignment="1">
      <alignment vertical="center"/>
    </xf>
    <xf numFmtId="3" fontId="7" fillId="0" borderId="206" xfId="0" applyNumberFormat="1" applyFont="1" applyFill="1" applyBorder="1" applyAlignment="1">
      <alignment vertical="center"/>
    </xf>
    <xf numFmtId="3" fontId="7" fillId="0" borderId="31" xfId="0" applyNumberFormat="1" applyFont="1" applyFill="1" applyBorder="1" applyAlignment="1">
      <alignment vertical="center"/>
    </xf>
    <xf numFmtId="3" fontId="7" fillId="0" borderId="205" xfId="0" applyNumberFormat="1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" fillId="0" borderId="207" xfId="0" applyNumberFormat="1" applyFont="1" applyBorder="1" applyAlignment="1">
      <alignment vertical="center"/>
    </xf>
    <xf numFmtId="3" fontId="8" fillId="0" borderId="174" xfId="0" applyNumberFormat="1" applyFont="1" applyBorder="1" applyAlignment="1">
      <alignment vertical="center"/>
    </xf>
    <xf numFmtId="3" fontId="8" fillId="0" borderId="174" xfId="0" applyNumberFormat="1" applyFont="1" applyFill="1" applyBorder="1" applyAlignment="1">
      <alignment vertical="center"/>
    </xf>
    <xf numFmtId="3" fontId="8" fillId="0" borderId="118" xfId="0" applyNumberFormat="1" applyFont="1" applyBorder="1" applyAlignment="1">
      <alignment vertical="center"/>
    </xf>
    <xf numFmtId="3" fontId="8" fillId="0" borderId="175" xfId="0" applyNumberFormat="1" applyFont="1" applyBorder="1" applyAlignment="1">
      <alignment vertical="center"/>
    </xf>
    <xf numFmtId="3" fontId="9" fillId="0" borderId="38" xfId="0" applyNumberFormat="1" applyFont="1" applyFill="1" applyBorder="1" applyAlignment="1">
      <alignment vertical="center"/>
    </xf>
    <xf numFmtId="3" fontId="14" fillId="0" borderId="40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3" fontId="14" fillId="0" borderId="39" xfId="0" applyNumberFormat="1" applyFont="1" applyBorder="1" applyAlignment="1">
      <alignment vertical="center"/>
    </xf>
    <xf numFmtId="3" fontId="4" fillId="0" borderId="206" xfId="0" applyNumberFormat="1" applyFont="1" applyBorder="1" applyAlignment="1">
      <alignment vertical="center"/>
    </xf>
    <xf numFmtId="3" fontId="4" fillId="0" borderId="200" xfId="0" applyNumberFormat="1" applyFont="1" applyBorder="1" applyAlignment="1">
      <alignment vertical="center"/>
    </xf>
    <xf numFmtId="3" fontId="7" fillId="0" borderId="174" xfId="0" applyNumberFormat="1" applyFont="1" applyBorder="1" applyAlignment="1">
      <alignment vertical="center"/>
    </xf>
    <xf numFmtId="3" fontId="7" fillId="0" borderId="118" xfId="0" applyNumberFormat="1" applyFont="1" applyBorder="1" applyAlignment="1">
      <alignment vertical="center"/>
    </xf>
    <xf numFmtId="3" fontId="7" fillId="0" borderId="175" xfId="0" applyNumberFormat="1" applyFont="1" applyBorder="1" applyAlignment="1">
      <alignment vertical="center"/>
    </xf>
    <xf numFmtId="3" fontId="4" fillId="0" borderId="65" xfId="0" applyNumberFormat="1" applyFont="1" applyBorder="1" applyAlignment="1">
      <alignment vertical="center"/>
    </xf>
    <xf numFmtId="3" fontId="4" fillId="0" borderId="199" xfId="0" applyNumberFormat="1" applyFont="1" applyBorder="1" applyAlignment="1">
      <alignment vertical="center"/>
    </xf>
    <xf numFmtId="3" fontId="9" fillId="0" borderId="206" xfId="0" applyNumberFormat="1" applyFont="1" applyBorder="1" applyAlignment="1">
      <alignment vertical="center"/>
    </xf>
    <xf numFmtId="3" fontId="9" fillId="0" borderId="202" xfId="0" applyNumberFormat="1" applyFont="1" applyBorder="1" applyAlignment="1">
      <alignment vertical="center"/>
    </xf>
    <xf numFmtId="3" fontId="8" fillId="0" borderId="175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14" fillId="0" borderId="208" xfId="0" applyNumberFormat="1" applyFont="1" applyBorder="1" applyAlignment="1">
      <alignment vertical="center"/>
    </xf>
    <xf numFmtId="3" fontId="5" fillId="0" borderId="99" xfId="0" applyNumberFormat="1" applyFont="1" applyFill="1" applyBorder="1" applyAlignment="1">
      <alignment vertical="center"/>
    </xf>
    <xf numFmtId="3" fontId="5" fillId="0" borderId="101" xfId="0" applyNumberFormat="1" applyFont="1" applyFill="1" applyBorder="1" applyAlignment="1">
      <alignment vertical="center"/>
    </xf>
    <xf numFmtId="3" fontId="5" fillId="0" borderId="102" xfId="0" applyNumberFormat="1" applyFont="1" applyFill="1" applyBorder="1" applyAlignment="1">
      <alignment vertical="center"/>
    </xf>
    <xf numFmtId="3" fontId="10" fillId="0" borderId="41" xfId="0" applyNumberFormat="1" applyFont="1" applyFill="1" applyBorder="1" applyAlignment="1">
      <alignment vertical="center"/>
    </xf>
    <xf numFmtId="3" fontId="10" fillId="0" borderId="209" xfId="0" applyNumberFormat="1" applyFont="1" applyFill="1" applyBorder="1" applyAlignment="1">
      <alignment vertical="center"/>
    </xf>
    <xf numFmtId="3" fontId="10" fillId="0" borderId="210" xfId="0" applyNumberFormat="1" applyFont="1" applyFill="1" applyBorder="1" applyAlignment="1">
      <alignment vertical="center"/>
    </xf>
    <xf numFmtId="3" fontId="5" fillId="0" borderId="144" xfId="0" applyNumberFormat="1" applyFont="1" applyFill="1" applyBorder="1" applyAlignment="1">
      <alignment vertical="center"/>
    </xf>
    <xf numFmtId="3" fontId="5" fillId="0" borderId="211" xfId="0" applyNumberFormat="1" applyFont="1" applyFill="1" applyBorder="1" applyAlignment="1">
      <alignment vertical="center"/>
    </xf>
    <xf numFmtId="3" fontId="5" fillId="0" borderId="212" xfId="0" applyNumberFormat="1" applyFont="1" applyFill="1" applyBorder="1" applyAlignment="1">
      <alignment vertical="center"/>
    </xf>
    <xf numFmtId="3" fontId="5" fillId="0" borderId="213" xfId="0" applyNumberFormat="1" applyFont="1" applyFill="1" applyBorder="1" applyAlignment="1">
      <alignment vertical="center"/>
    </xf>
    <xf numFmtId="3" fontId="10" fillId="0" borderId="98" xfId="0" applyNumberFormat="1" applyFont="1" applyFill="1" applyBorder="1" applyAlignment="1">
      <alignment vertical="center"/>
    </xf>
    <xf numFmtId="3" fontId="5" fillId="0" borderId="125" xfId="0" applyNumberFormat="1" applyFont="1" applyFill="1" applyBorder="1" applyAlignment="1">
      <alignment vertical="center"/>
    </xf>
    <xf numFmtId="3" fontId="5" fillId="0" borderId="214" xfId="0" applyNumberFormat="1" applyFont="1" applyFill="1" applyBorder="1" applyAlignment="1">
      <alignment vertical="center"/>
    </xf>
    <xf numFmtId="3" fontId="5" fillId="0" borderId="198" xfId="0" applyNumberFormat="1" applyFont="1" applyFill="1" applyBorder="1" applyAlignment="1">
      <alignment vertical="center"/>
    </xf>
    <xf numFmtId="3" fontId="5" fillId="0" borderId="100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3" fontId="5" fillId="0" borderId="85" xfId="0" applyNumberFormat="1" applyFont="1" applyFill="1" applyBorder="1" applyAlignment="1">
      <alignment vertical="center"/>
    </xf>
    <xf numFmtId="3" fontId="10" fillId="0" borderId="215" xfId="0" applyNumberFormat="1" applyFont="1" applyFill="1" applyBorder="1" applyAlignment="1">
      <alignment vertical="center"/>
    </xf>
    <xf numFmtId="3" fontId="5" fillId="0" borderId="216" xfId="0" applyNumberFormat="1" applyFont="1" applyFill="1" applyBorder="1" applyAlignment="1">
      <alignment vertical="center"/>
    </xf>
    <xf numFmtId="3" fontId="5" fillId="0" borderId="217" xfId="0" applyNumberFormat="1" applyFont="1" applyFill="1" applyBorder="1" applyAlignment="1">
      <alignment vertical="center"/>
    </xf>
    <xf numFmtId="3" fontId="10" fillId="0" borderId="218" xfId="0" applyNumberFormat="1" applyFont="1" applyFill="1" applyBorder="1" applyAlignment="1">
      <alignment vertical="center"/>
    </xf>
    <xf numFmtId="3" fontId="14" fillId="0" borderId="98" xfId="0" applyNumberFormat="1" applyFont="1" applyFill="1" applyBorder="1" applyAlignment="1">
      <alignment vertical="center"/>
    </xf>
    <xf numFmtId="3" fontId="14" fillId="0" borderId="210" xfId="0" applyNumberFormat="1" applyFont="1" applyFill="1" applyBorder="1" applyAlignment="1">
      <alignment vertical="center"/>
    </xf>
    <xf numFmtId="3" fontId="5" fillId="0" borderId="202" xfId="0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5" fillId="0" borderId="66" xfId="5" applyNumberFormat="1" applyFont="1" applyBorder="1" applyAlignment="1">
      <alignment horizontal="right" vertical="center"/>
    </xf>
    <xf numFmtId="3" fontId="55" fillId="0" borderId="205" xfId="5" applyNumberFormat="1" applyFont="1" applyBorder="1" applyAlignment="1">
      <alignment horizontal="right" vertical="center"/>
    </xf>
    <xf numFmtId="3" fontId="55" fillId="0" borderId="59" xfId="4" applyNumberFormat="1" applyFont="1" applyBorder="1" applyAlignment="1">
      <alignment horizontal="right" vertical="center" wrapText="1"/>
    </xf>
    <xf numFmtId="3" fontId="55" fillId="0" borderId="66" xfId="4" applyNumberFormat="1" applyFont="1" applyBorder="1" applyAlignment="1">
      <alignment horizontal="right" vertical="center" wrapText="1"/>
    </xf>
    <xf numFmtId="3" fontId="55" fillId="0" borderId="66" xfId="4" applyNumberFormat="1" applyFont="1" applyBorder="1" applyAlignment="1">
      <alignment horizontal="right" vertical="center"/>
    </xf>
    <xf numFmtId="3" fontId="55" fillId="0" borderId="199" xfId="4" applyNumberFormat="1" applyFont="1" applyBorder="1" applyAlignment="1">
      <alignment horizontal="right" vertical="center"/>
    </xf>
    <xf numFmtId="3" fontId="71" fillId="0" borderId="57" xfId="5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47" fillId="0" borderId="6" xfId="0" applyNumberFormat="1" applyFont="1" applyFill="1" applyBorder="1" applyAlignment="1">
      <alignment vertical="center"/>
    </xf>
    <xf numFmtId="0" fontId="23" fillId="0" borderId="99" xfId="8" applyFont="1" applyFill="1" applyBorder="1" applyAlignment="1">
      <alignment horizontal="left" vertical="center"/>
    </xf>
    <xf numFmtId="3" fontId="11" fillId="0" borderId="29" xfId="0" applyNumberFormat="1" applyFont="1" applyFill="1" applyBorder="1" applyAlignment="1">
      <alignment horizontal="right"/>
    </xf>
    <xf numFmtId="0" fontId="3" fillId="0" borderId="29" xfId="0" applyFont="1" applyBorder="1" applyAlignment="1">
      <alignment wrapText="1"/>
    </xf>
    <xf numFmtId="3" fontId="7" fillId="0" borderId="202" xfId="0" applyNumberFormat="1" applyFont="1" applyFill="1" applyBorder="1" applyAlignment="1">
      <alignment vertical="center"/>
    </xf>
    <xf numFmtId="3" fontId="7" fillId="0" borderId="29" xfId="0" applyNumberFormat="1" applyFont="1" applyFill="1" applyBorder="1" applyAlignment="1">
      <alignment vertical="center"/>
    </xf>
    <xf numFmtId="3" fontId="7" fillId="0" borderId="200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8" fillId="2" borderId="182" xfId="7" applyNumberFormat="1" applyFont="1" applyFill="1" applyBorder="1"/>
    <xf numFmtId="3" fontId="21" fillId="0" borderId="76" xfId="7" applyNumberFormat="1" applyFont="1" applyBorder="1"/>
    <xf numFmtId="3" fontId="8" fillId="0" borderId="76" xfId="7" applyNumberFormat="1" applyFont="1" applyBorder="1"/>
    <xf numFmtId="3" fontId="24" fillId="0" borderId="29" xfId="0" applyNumberFormat="1" applyFont="1" applyBorder="1" applyAlignment="1">
      <alignment vertical="center"/>
    </xf>
    <xf numFmtId="3" fontId="4" fillId="0" borderId="76" xfId="7" applyNumberFormat="1" applyFont="1" applyBorder="1"/>
    <xf numFmtId="3" fontId="8" fillId="2" borderId="76" xfId="7" applyNumberFormat="1" applyFont="1" applyFill="1" applyBorder="1"/>
    <xf numFmtId="3" fontId="8" fillId="3" borderId="185" xfId="7" applyNumberFormat="1" applyFont="1" applyFill="1" applyBorder="1"/>
    <xf numFmtId="0" fontId="3" fillId="0" borderId="219" xfId="0" applyFont="1" applyBorder="1"/>
    <xf numFmtId="0" fontId="10" fillId="0" borderId="220" xfId="0" applyFont="1" applyBorder="1" applyAlignment="1">
      <alignment horizontal="center" vertical="center" wrapText="1"/>
    </xf>
    <xf numFmtId="3" fontId="26" fillId="0" borderId="31" xfId="0" applyNumberFormat="1" applyFont="1" applyBorder="1" applyAlignment="1">
      <alignment vertical="center"/>
    </xf>
    <xf numFmtId="3" fontId="52" fillId="0" borderId="31" xfId="0" applyNumberFormat="1" applyFont="1" applyBorder="1" applyAlignment="1">
      <alignment vertical="center"/>
    </xf>
    <xf numFmtId="0" fontId="10" fillId="0" borderId="221" xfId="0" applyFont="1" applyBorder="1" applyAlignment="1">
      <alignment horizontal="center" vertical="center" wrapText="1"/>
    </xf>
    <xf numFmtId="3" fontId="26" fillId="0" borderId="115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164" fontId="24" fillId="0" borderId="31" xfId="0" applyNumberFormat="1" applyFont="1" applyBorder="1" applyAlignment="1">
      <alignment vertical="center"/>
    </xf>
    <xf numFmtId="164" fontId="17" fillId="0" borderId="29" xfId="0" applyNumberFormat="1" applyFont="1" applyBorder="1" applyAlignment="1">
      <alignment vertical="center"/>
    </xf>
    <xf numFmtId="164" fontId="75" fillId="0" borderId="29" xfId="0" applyNumberFormat="1" applyFont="1" applyBorder="1" applyAlignment="1">
      <alignment vertical="center" wrapText="1"/>
    </xf>
    <xf numFmtId="0" fontId="24" fillId="0" borderId="29" xfId="0" applyFont="1" applyBorder="1" applyAlignment="1">
      <alignment vertical="center"/>
    </xf>
    <xf numFmtId="0" fontId="23" fillId="0" borderId="28" xfId="8" applyFont="1" applyBorder="1" applyAlignment="1">
      <alignment wrapText="1"/>
    </xf>
    <xf numFmtId="3" fontId="7" fillId="0" borderId="38" xfId="0" applyNumberFormat="1" applyFont="1" applyBorder="1" applyAlignment="1">
      <alignment vertical="center"/>
    </xf>
    <xf numFmtId="3" fontId="8" fillId="0" borderId="162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4" fillId="0" borderId="53" xfId="0" applyNumberFormat="1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3" fontId="26" fillId="0" borderId="134" xfId="0" applyNumberFormat="1" applyFont="1" applyBorder="1" applyAlignment="1">
      <alignment vertical="center"/>
    </xf>
    <xf numFmtId="3" fontId="24" fillId="0" borderId="134" xfId="0" applyNumberFormat="1" applyFont="1" applyBorder="1" applyAlignment="1">
      <alignment vertical="center"/>
    </xf>
    <xf numFmtId="0" fontId="70" fillId="0" borderId="29" xfId="0" applyFont="1" applyBorder="1" applyAlignment="1">
      <alignment wrapText="1"/>
    </xf>
    <xf numFmtId="0" fontId="70" fillId="0" borderId="29" xfId="0" applyFont="1" applyBorder="1" applyAlignment="1">
      <alignment horizontal="center" wrapText="1"/>
    </xf>
    <xf numFmtId="0" fontId="70" fillId="0" borderId="0" xfId="0" applyFont="1" applyAlignment="1">
      <alignment wrapText="1"/>
    </xf>
    <xf numFmtId="0" fontId="70" fillId="0" borderId="29" xfId="0" applyFont="1" applyBorder="1"/>
    <xf numFmtId="3" fontId="70" fillId="0" borderId="0" xfId="0" applyNumberFormat="1" applyFont="1"/>
    <xf numFmtId="4" fontId="70" fillId="0" borderId="0" xfId="0" applyNumberFormat="1" applyFont="1"/>
    <xf numFmtId="3" fontId="70" fillId="0" borderId="29" xfId="0" applyNumberFormat="1" applyFont="1" applyBorder="1"/>
    <xf numFmtId="0" fontId="70" fillId="0" borderId="30" xfId="0" applyFont="1" applyBorder="1"/>
    <xf numFmtId="0" fontId="78" fillId="0" borderId="29" xfId="0" applyFont="1" applyBorder="1"/>
    <xf numFmtId="3" fontId="78" fillId="0" borderId="29" xfId="0" applyNumberFormat="1" applyFont="1" applyBorder="1"/>
    <xf numFmtId="166" fontId="70" fillId="0" borderId="29" xfId="0" applyNumberFormat="1" applyFont="1" applyBorder="1"/>
    <xf numFmtId="3" fontId="70" fillId="0" borderId="0" xfId="0" applyNumberFormat="1" applyFont="1" applyFill="1" applyAlignment="1">
      <alignment vertical="center"/>
    </xf>
    <xf numFmtId="3" fontId="70" fillId="0" borderId="0" xfId="0" applyNumberFormat="1" applyFont="1" applyAlignment="1">
      <alignment vertical="center"/>
    </xf>
    <xf numFmtId="0" fontId="78" fillId="5" borderId="29" xfId="0" applyFont="1" applyFill="1" applyBorder="1"/>
    <xf numFmtId="3" fontId="78" fillId="5" borderId="29" xfId="0" applyNumberFormat="1" applyFont="1" applyFill="1" applyBorder="1"/>
    <xf numFmtId="0" fontId="20" fillId="0" borderId="29" xfId="0" applyFont="1" applyBorder="1"/>
    <xf numFmtId="0" fontId="4" fillId="0" borderId="94" xfId="0" applyFont="1" applyFill="1" applyBorder="1" applyAlignment="1">
      <alignment horizontal="left" vertical="center"/>
    </xf>
    <xf numFmtId="3" fontId="4" fillId="0" borderId="65" xfId="0" applyNumberFormat="1" applyFont="1" applyFill="1" applyBorder="1" applyAlignment="1">
      <alignment vertical="center"/>
    </xf>
    <xf numFmtId="3" fontId="4" fillId="0" borderId="19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70" fillId="0" borderId="29" xfId="0" applyNumberFormat="1" applyFont="1" applyFill="1" applyBorder="1" applyAlignment="1">
      <alignment vertical="center"/>
    </xf>
    <xf numFmtId="3" fontId="70" fillId="0" borderId="29" xfId="0" applyNumberFormat="1" applyFont="1" applyBorder="1" applyAlignment="1">
      <alignment vertical="center"/>
    </xf>
    <xf numFmtId="3" fontId="70" fillId="0" borderId="29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left" wrapText="1"/>
    </xf>
    <xf numFmtId="0" fontId="8" fillId="0" borderId="257" xfId="0" applyFont="1" applyFill="1" applyBorder="1" applyAlignment="1">
      <alignment horizontal="center" vertical="center" wrapText="1"/>
    </xf>
    <xf numFmtId="0" fontId="49" fillId="0" borderId="258" xfId="0" applyFont="1" applyFill="1" applyBorder="1" applyAlignment="1">
      <alignment horizontal="center" vertical="center" wrapText="1"/>
    </xf>
    <xf numFmtId="0" fontId="49" fillId="0" borderId="110" xfId="0" applyFont="1" applyFill="1" applyBorder="1" applyAlignment="1">
      <alignment horizontal="center" vertical="center" wrapText="1"/>
    </xf>
    <xf numFmtId="0" fontId="8" fillId="0" borderId="110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3" fontId="11" fillId="0" borderId="45" xfId="0" applyNumberFormat="1" applyFont="1" applyFill="1" applyBorder="1" applyAlignment="1"/>
    <xf numFmtId="3" fontId="11" fillId="0" borderId="74" xfId="0" applyNumberFormat="1" applyFont="1" applyFill="1" applyBorder="1" applyAlignment="1"/>
    <xf numFmtId="3" fontId="12" fillId="0" borderId="45" xfId="0" applyNumberFormat="1" applyFont="1" applyFill="1" applyBorder="1" applyAlignment="1"/>
    <xf numFmtId="3" fontId="12" fillId="0" borderId="74" xfId="0" applyNumberFormat="1" applyFont="1" applyFill="1" applyBorder="1" applyAlignment="1"/>
    <xf numFmtId="3" fontId="12" fillId="0" borderId="153" xfId="0" applyNumberFormat="1" applyFont="1" applyFill="1" applyBorder="1" applyAlignment="1"/>
    <xf numFmtId="3" fontId="12" fillId="0" borderId="169" xfId="0" applyNumberFormat="1" applyFont="1" applyFill="1" applyBorder="1" applyAlignment="1"/>
    <xf numFmtId="3" fontId="11" fillId="0" borderId="131" xfId="0" applyNumberFormat="1" applyFont="1" applyFill="1" applyBorder="1" applyAlignment="1"/>
    <xf numFmtId="3" fontId="12" fillId="0" borderId="122" xfId="0" applyNumberFormat="1" applyFont="1" applyFill="1" applyBorder="1" applyAlignment="1"/>
    <xf numFmtId="3" fontId="12" fillId="0" borderId="123" xfId="0" applyNumberFormat="1" applyFont="1" applyFill="1" applyBorder="1" applyAlignment="1"/>
    <xf numFmtId="3" fontId="12" fillId="0" borderId="172" xfId="0" applyNumberFormat="1" applyFont="1" applyFill="1" applyBorder="1" applyAlignment="1"/>
    <xf numFmtId="3" fontId="12" fillId="0" borderId="103" xfId="0" applyNumberFormat="1" applyFont="1" applyFill="1" applyBorder="1" applyAlignment="1"/>
    <xf numFmtId="3" fontId="12" fillId="0" borderId="171" xfId="0" applyNumberFormat="1" applyFont="1" applyFill="1" applyBorder="1" applyAlignment="1"/>
    <xf numFmtId="3" fontId="12" fillId="0" borderId="43" xfId="0" applyNumberFormat="1" applyFont="1" applyFill="1" applyBorder="1" applyAlignment="1"/>
    <xf numFmtId="3" fontId="11" fillId="0" borderId="251" xfId="0" applyNumberFormat="1" applyFont="1" applyFill="1" applyBorder="1" applyAlignment="1"/>
    <xf numFmtId="3" fontId="11" fillId="0" borderId="174" xfId="0" applyNumberFormat="1" applyFont="1" applyFill="1" applyBorder="1" applyAlignment="1"/>
    <xf numFmtId="3" fontId="11" fillId="0" borderId="0" xfId="0" applyNumberFormat="1" applyFont="1" applyFill="1" applyBorder="1" applyAlignment="1"/>
    <xf numFmtId="3" fontId="11" fillId="0" borderId="134" xfId="0" applyNumberFormat="1" applyFont="1" applyBorder="1"/>
    <xf numFmtId="3" fontId="11" fillId="0" borderId="31" xfId="0" applyNumberFormat="1" applyFont="1" applyBorder="1"/>
    <xf numFmtId="3" fontId="11" fillId="0" borderId="132" xfId="0" applyNumberFormat="1" applyFont="1" applyBorder="1"/>
    <xf numFmtId="3" fontId="11" fillId="0" borderId="259" xfId="0" applyNumberFormat="1" applyFont="1" applyBorder="1"/>
    <xf numFmtId="3" fontId="11" fillId="0" borderId="84" xfId="0" applyNumberFormat="1" applyFont="1" applyBorder="1"/>
    <xf numFmtId="3" fontId="11" fillId="0" borderId="260" xfId="0" applyNumberFormat="1" applyFont="1" applyBorder="1"/>
    <xf numFmtId="3" fontId="11" fillId="0" borderId="57" xfId="0" applyNumberFormat="1" applyFont="1" applyBorder="1"/>
    <xf numFmtId="3" fontId="11" fillId="0" borderId="43" xfId="0" applyNumberFormat="1" applyFont="1" applyBorder="1"/>
    <xf numFmtId="3" fontId="11" fillId="0" borderId="40" xfId="0" applyNumberFormat="1" applyFont="1" applyBorder="1"/>
    <xf numFmtId="3" fontId="11" fillId="0" borderId="91" xfId="0" applyNumberFormat="1" applyFont="1" applyBorder="1"/>
    <xf numFmtId="3" fontId="11" fillId="0" borderId="41" xfId="0" applyNumberFormat="1" applyFont="1" applyBorder="1"/>
    <xf numFmtId="3" fontId="11" fillId="0" borderId="83" xfId="0" applyNumberFormat="1" applyFont="1" applyBorder="1"/>
    <xf numFmtId="3" fontId="11" fillId="0" borderId="261" xfId="0" applyNumberFormat="1" applyFont="1" applyBorder="1"/>
    <xf numFmtId="3" fontId="11" fillId="0" borderId="220" xfId="0" applyNumberFormat="1" applyFont="1" applyBorder="1"/>
    <xf numFmtId="3" fontId="11" fillId="0" borderId="262" xfId="0" applyNumberFormat="1" applyFont="1" applyBorder="1"/>
    <xf numFmtId="3" fontId="22" fillId="0" borderId="101" xfId="8" applyNumberFormat="1" applyFont="1" applyFill="1" applyBorder="1"/>
    <xf numFmtId="3" fontId="23" fillId="0" borderId="153" xfId="8" applyNumberFormat="1" applyFont="1" applyBorder="1" applyAlignment="1">
      <alignment horizontal="right"/>
    </xf>
    <xf numFmtId="3" fontId="23" fillId="0" borderId="153" xfId="8" applyNumberFormat="1" applyFont="1" applyBorder="1"/>
    <xf numFmtId="3" fontId="23" fillId="0" borderId="172" xfId="8" applyNumberFormat="1" applyFont="1" applyBorder="1" applyAlignment="1">
      <alignment horizontal="right"/>
    </xf>
    <xf numFmtId="3" fontId="23" fillId="0" borderId="263" xfId="8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19" xfId="0" applyFont="1" applyBorder="1" applyAlignment="1">
      <alignment horizontal="center" vertical="center" wrapText="1"/>
    </xf>
    <xf numFmtId="0" fontId="10" fillId="0" borderId="207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203" xfId="0" applyFont="1" applyBorder="1" applyAlignment="1">
      <alignment horizontal="center" vertical="center" wrapText="1"/>
    </xf>
    <xf numFmtId="0" fontId="10" fillId="0" borderId="22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223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98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213" xfId="0" applyFont="1" applyBorder="1" applyAlignment="1">
      <alignment horizontal="center" vertical="center" wrapText="1"/>
    </xf>
    <xf numFmtId="1" fontId="8" fillId="0" borderId="29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 wrapText="1"/>
    </xf>
    <xf numFmtId="0" fontId="10" fillId="0" borderId="226" xfId="0" applyFont="1" applyBorder="1" applyAlignment="1">
      <alignment horizontal="center" vertical="center" wrapText="1"/>
    </xf>
    <xf numFmtId="0" fontId="10" fillId="0" borderId="227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228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224" xfId="0" applyNumberFormat="1" applyFont="1" applyBorder="1" applyAlignment="1">
      <alignment horizontal="center" vertical="center"/>
    </xf>
    <xf numFmtId="0" fontId="10" fillId="0" borderId="229" xfId="0" applyNumberFormat="1" applyFont="1" applyBorder="1" applyAlignment="1">
      <alignment horizontal="center" vertical="center"/>
    </xf>
    <xf numFmtId="0" fontId="10" fillId="0" borderId="225" xfId="0" applyNumberFormat="1" applyFont="1" applyBorder="1" applyAlignment="1">
      <alignment horizontal="center" vertical="center" wrapText="1"/>
    </xf>
    <xf numFmtId="0" fontId="10" fillId="0" borderId="230" xfId="0" applyNumberFormat="1" applyFont="1" applyBorder="1" applyAlignment="1">
      <alignment horizontal="center" vertical="center" wrapText="1"/>
    </xf>
    <xf numFmtId="0" fontId="10" fillId="0" borderId="227" xfId="0" applyNumberFormat="1" applyFont="1" applyBorder="1" applyAlignment="1">
      <alignment horizontal="center" vertical="center" wrapText="1"/>
    </xf>
    <xf numFmtId="0" fontId="10" fillId="0" borderId="47" xfId="0" applyNumberFormat="1" applyFont="1" applyBorder="1" applyAlignment="1">
      <alignment horizontal="center" vertical="center" wrapText="1"/>
    </xf>
    <xf numFmtId="0" fontId="10" fillId="0" borderId="231" xfId="0" applyNumberFormat="1" applyFont="1" applyBorder="1" applyAlignment="1">
      <alignment horizontal="center" vertical="center" wrapText="1"/>
    </xf>
    <xf numFmtId="0" fontId="10" fillId="0" borderId="232" xfId="0" applyNumberFormat="1" applyFont="1" applyBorder="1" applyAlignment="1">
      <alignment horizontal="center" vertical="center" wrapText="1"/>
    </xf>
    <xf numFmtId="0" fontId="22" fillId="0" borderId="50" xfId="8" applyFont="1" applyFill="1" applyBorder="1" applyAlignment="1">
      <alignment horizontal="left" vertical="center"/>
    </xf>
    <xf numFmtId="0" fontId="22" fillId="0" borderId="238" xfId="8" applyFont="1" applyFill="1" applyBorder="1" applyAlignment="1">
      <alignment horizontal="left" vertical="center"/>
    </xf>
    <xf numFmtId="0" fontId="22" fillId="0" borderId="17" xfId="8" applyFont="1" applyFill="1" applyBorder="1" applyAlignment="1">
      <alignment horizontal="left" vertical="center"/>
    </xf>
    <xf numFmtId="0" fontId="22" fillId="0" borderId="67" xfId="8" applyFont="1" applyFill="1" applyBorder="1" applyAlignment="1">
      <alignment horizontal="left" vertical="center"/>
    </xf>
    <xf numFmtId="0" fontId="22" fillId="0" borderId="91" xfId="8" applyFont="1" applyFill="1" applyBorder="1" applyAlignment="1">
      <alignment horizontal="left" vertical="center"/>
    </xf>
    <xf numFmtId="0" fontId="22" fillId="0" borderId="105" xfId="8" applyFont="1" applyFill="1" applyBorder="1" applyAlignment="1">
      <alignment horizontal="left" vertical="center"/>
    </xf>
    <xf numFmtId="0" fontId="22" fillId="0" borderId="20" xfId="8" applyFont="1" applyFill="1" applyBorder="1" applyAlignment="1">
      <alignment horizontal="left" vertical="center"/>
    </xf>
    <xf numFmtId="0" fontId="22" fillId="0" borderId="6" xfId="8" applyFont="1" applyFill="1" applyBorder="1" applyAlignment="1">
      <alignment horizontal="left" vertical="center"/>
    </xf>
    <xf numFmtId="0" fontId="22" fillId="0" borderId="239" xfId="8" applyFont="1" applyFill="1" applyBorder="1" applyAlignment="1">
      <alignment horizontal="left" vertical="center"/>
    </xf>
    <xf numFmtId="0" fontId="22" fillId="0" borderId="240" xfId="8" applyFont="1" applyFill="1" applyBorder="1" applyAlignment="1">
      <alignment horizontal="left" vertical="center"/>
    </xf>
    <xf numFmtId="0" fontId="22" fillId="0" borderId="86" xfId="8" applyFont="1" applyFill="1" applyBorder="1" applyAlignment="1">
      <alignment horizontal="center" vertical="center" wrapText="1"/>
    </xf>
    <xf numFmtId="0" fontId="22" fillId="0" borderId="102" xfId="8" applyFont="1" applyFill="1" applyBorder="1" applyAlignment="1">
      <alignment horizontal="center" vertical="center" wrapText="1"/>
    </xf>
    <xf numFmtId="0" fontId="22" fillId="0" borderId="234" xfId="8" applyFont="1" applyFill="1" applyBorder="1" applyAlignment="1">
      <alignment horizontal="center" vertical="center" wrapText="1"/>
    </xf>
    <xf numFmtId="0" fontId="22" fillId="0" borderId="108" xfId="8" applyFont="1" applyFill="1" applyBorder="1" applyAlignment="1">
      <alignment horizontal="center" vertical="center" wrapText="1"/>
    </xf>
    <xf numFmtId="3" fontId="22" fillId="0" borderId="86" xfId="8" applyNumberFormat="1" applyFont="1" applyFill="1" applyBorder="1" applyAlignment="1">
      <alignment horizontal="center" vertical="center" wrapText="1"/>
    </xf>
    <xf numFmtId="3" fontId="22" fillId="0" borderId="102" xfId="8" applyNumberFormat="1" applyFont="1" applyFill="1" applyBorder="1" applyAlignment="1">
      <alignment horizontal="center" vertical="center" wrapText="1"/>
    </xf>
    <xf numFmtId="3" fontId="22" fillId="0" borderId="234" xfId="8" applyNumberFormat="1" applyFont="1" applyFill="1" applyBorder="1" applyAlignment="1">
      <alignment horizontal="center" vertical="center" wrapText="1"/>
    </xf>
    <xf numFmtId="3" fontId="22" fillId="0" borderId="108" xfId="8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2" fillId="0" borderId="109" xfId="8" applyFont="1" applyFill="1" applyBorder="1" applyAlignment="1">
      <alignment horizontal="center" vertical="center"/>
    </xf>
    <xf numFmtId="0" fontId="22" fillId="0" borderId="233" xfId="8" applyFont="1" applyFill="1" applyBorder="1" applyAlignment="1">
      <alignment horizontal="center" vertical="center"/>
    </xf>
    <xf numFmtId="0" fontId="22" fillId="0" borderId="37" xfId="8" applyFont="1" applyFill="1" applyBorder="1" applyAlignment="1">
      <alignment horizontal="center" vertical="center"/>
    </xf>
    <xf numFmtId="0" fontId="22" fillId="0" borderId="193" xfId="8" applyFont="1" applyFill="1" applyBorder="1" applyAlignment="1">
      <alignment horizontal="center" vertical="center"/>
    </xf>
    <xf numFmtId="0" fontId="22" fillId="0" borderId="219" xfId="8" applyFont="1" applyFill="1" applyBorder="1" applyAlignment="1">
      <alignment horizontal="center" vertical="center"/>
    </xf>
    <xf numFmtId="0" fontId="22" fillId="0" borderId="70" xfId="8" applyFont="1" applyFill="1" applyBorder="1" applyAlignment="1">
      <alignment horizontal="center" vertical="center"/>
    </xf>
    <xf numFmtId="0" fontId="22" fillId="0" borderId="123" xfId="8" applyFont="1" applyFill="1" applyBorder="1" applyAlignment="1">
      <alignment horizontal="center" vertical="center" wrapText="1"/>
    </xf>
    <xf numFmtId="0" fontId="22" fillId="0" borderId="235" xfId="8" applyFont="1" applyFill="1" applyBorder="1" applyAlignment="1">
      <alignment horizontal="center" vertical="center" wrapText="1"/>
    </xf>
    <xf numFmtId="0" fontId="22" fillId="0" borderId="191" xfId="8" applyFont="1" applyFill="1" applyBorder="1" applyAlignment="1">
      <alignment horizontal="center"/>
    </xf>
    <xf numFmtId="0" fontId="22" fillId="0" borderId="236" xfId="8" applyFont="1" applyFill="1" applyBorder="1" applyAlignment="1">
      <alignment horizontal="center"/>
    </xf>
    <xf numFmtId="0" fontId="22" fillId="0" borderId="192" xfId="8" applyFont="1" applyFill="1" applyBorder="1" applyAlignment="1">
      <alignment horizontal="center"/>
    </xf>
    <xf numFmtId="0" fontId="22" fillId="0" borderId="190" xfId="8" applyFont="1" applyFill="1" applyBorder="1" applyAlignment="1">
      <alignment horizontal="center"/>
    </xf>
    <xf numFmtId="0" fontId="22" fillId="0" borderId="237" xfId="8" applyFont="1" applyFill="1" applyBorder="1" applyAlignment="1">
      <alignment horizontal="center" vertical="center"/>
    </xf>
    <xf numFmtId="0" fontId="22" fillId="0" borderId="87" xfId="8" applyFont="1" applyFill="1" applyBorder="1" applyAlignment="1">
      <alignment horizontal="center" vertical="center"/>
    </xf>
    <xf numFmtId="0" fontId="22" fillId="0" borderId="234" xfId="8" applyFont="1" applyFill="1" applyBorder="1" applyAlignment="1">
      <alignment horizontal="center" vertical="center"/>
    </xf>
    <xf numFmtId="0" fontId="22" fillId="0" borderId="108" xfId="8" applyFont="1" applyFill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 wrapText="1"/>
    </xf>
    <xf numFmtId="3" fontId="38" fillId="0" borderId="29" xfId="0" applyNumberFormat="1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/>
    </xf>
    <xf numFmtId="0" fontId="22" fillId="0" borderId="120" xfId="8" applyFont="1" applyFill="1" applyBorder="1" applyAlignment="1">
      <alignment horizontal="left" vertical="center"/>
    </xf>
    <xf numFmtId="0" fontId="22" fillId="0" borderId="241" xfId="8" applyFont="1" applyFill="1" applyBorder="1" applyAlignment="1">
      <alignment horizontal="left" vertical="center"/>
    </xf>
    <xf numFmtId="0" fontId="56" fillId="0" borderId="0" xfId="0" applyFont="1" applyAlignment="1">
      <alignment horizontal="left"/>
    </xf>
    <xf numFmtId="0" fontId="22" fillId="0" borderId="48" xfId="8" applyFont="1" applyFill="1" applyBorder="1" applyAlignment="1">
      <alignment horizontal="left" vertical="center"/>
    </xf>
    <xf numFmtId="0" fontId="22" fillId="0" borderId="139" xfId="8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/>
    </xf>
    <xf numFmtId="0" fontId="4" fillId="0" borderId="0" xfId="0" applyFont="1" applyFill="1" applyBorder="1"/>
    <xf numFmtId="0" fontId="22" fillId="0" borderId="187" xfId="8" applyFont="1" applyFill="1" applyBorder="1" applyAlignment="1">
      <alignment horizontal="left" vertical="center"/>
    </xf>
    <xf numFmtId="0" fontId="22" fillId="0" borderId="246" xfId="8" applyFont="1" applyFill="1" applyBorder="1" applyAlignment="1">
      <alignment horizontal="left" vertical="center"/>
    </xf>
    <xf numFmtId="0" fontId="22" fillId="0" borderId="247" xfId="8" applyFont="1" applyFill="1" applyBorder="1" applyAlignment="1">
      <alignment horizontal="center" vertical="center"/>
    </xf>
    <xf numFmtId="0" fontId="22" fillId="0" borderId="0" xfId="8" applyFont="1" applyFill="1" applyBorder="1" applyAlignment="1">
      <alignment horizontal="center" vertical="center"/>
    </xf>
    <xf numFmtId="0" fontId="22" fillId="0" borderId="221" xfId="8" applyFont="1" applyFill="1" applyBorder="1" applyAlignment="1">
      <alignment horizontal="center" vertical="center"/>
    </xf>
    <xf numFmtId="0" fontId="22" fillId="0" borderId="224" xfId="8" applyFont="1" applyFill="1" applyBorder="1" applyAlignment="1">
      <alignment horizontal="center"/>
    </xf>
    <xf numFmtId="0" fontId="22" fillId="0" borderId="207" xfId="8" applyFont="1" applyFill="1" applyBorder="1" applyAlignment="1">
      <alignment horizontal="center" vertical="center"/>
    </xf>
    <xf numFmtId="0" fontId="22" fillId="0" borderId="56" xfId="8" applyFont="1" applyFill="1" applyBorder="1" applyAlignment="1">
      <alignment horizontal="center" vertical="center"/>
    </xf>
    <xf numFmtId="0" fontId="22" fillId="0" borderId="242" xfId="8" applyFont="1" applyFill="1" applyBorder="1" applyAlignment="1">
      <alignment horizontal="center" vertical="center"/>
    </xf>
    <xf numFmtId="0" fontId="22" fillId="0" borderId="55" xfId="8" applyFont="1" applyFill="1" applyBorder="1" applyAlignment="1">
      <alignment horizontal="center" vertical="center"/>
    </xf>
    <xf numFmtId="0" fontId="22" fillId="0" borderId="93" xfId="8" applyFont="1" applyFill="1" applyBorder="1" applyAlignment="1">
      <alignment horizontal="center" vertical="center" wrapText="1"/>
    </xf>
    <xf numFmtId="0" fontId="22" fillId="0" borderId="242" xfId="8" applyFont="1" applyFill="1" applyBorder="1" applyAlignment="1">
      <alignment horizontal="center" vertical="center" wrapText="1"/>
    </xf>
    <xf numFmtId="0" fontId="22" fillId="0" borderId="243" xfId="8" applyFont="1" applyFill="1" applyBorder="1" applyAlignment="1">
      <alignment horizontal="center" vertical="center" wrapText="1"/>
    </xf>
    <xf numFmtId="0" fontId="22" fillId="0" borderId="244" xfId="8" applyFont="1" applyFill="1" applyBorder="1" applyAlignment="1">
      <alignment horizontal="center" vertical="center" wrapText="1"/>
    </xf>
    <xf numFmtId="0" fontId="22" fillId="0" borderId="103" xfId="8" applyFont="1" applyFill="1" applyBorder="1" applyAlignment="1">
      <alignment horizontal="center" vertical="center"/>
    </xf>
    <xf numFmtId="0" fontId="22" fillId="0" borderId="102" xfId="8" applyFont="1" applyFill="1" applyBorder="1" applyAlignment="1">
      <alignment horizontal="center" vertical="center"/>
    </xf>
    <xf numFmtId="0" fontId="22" fillId="0" borderId="245" xfId="8" applyFont="1" applyFill="1" applyBorder="1" applyAlignment="1">
      <alignment horizontal="center" vertical="center"/>
    </xf>
    <xf numFmtId="0" fontId="22" fillId="0" borderId="243" xfId="8" applyFont="1" applyFill="1" applyBorder="1" applyAlignment="1">
      <alignment horizontal="center" vertical="center"/>
    </xf>
    <xf numFmtId="0" fontId="22" fillId="0" borderId="86" xfId="8" applyFont="1" applyFill="1" applyBorder="1" applyAlignment="1">
      <alignment horizontal="center" vertical="center"/>
    </xf>
    <xf numFmtId="0" fontId="22" fillId="0" borderId="244" xfId="8" applyFont="1" applyFill="1" applyBorder="1" applyAlignment="1">
      <alignment horizontal="center" vertical="center"/>
    </xf>
    <xf numFmtId="3" fontId="22" fillId="0" borderId="93" xfId="8" applyNumberFormat="1" applyFont="1" applyFill="1" applyBorder="1" applyAlignment="1">
      <alignment horizontal="center" vertical="center" wrapText="1"/>
    </xf>
    <xf numFmtId="3" fontId="22" fillId="0" borderId="242" xfId="8" applyNumberFormat="1" applyFont="1" applyFill="1" applyBorder="1" applyAlignment="1">
      <alignment horizontal="center" vertical="center" wrapText="1"/>
    </xf>
    <xf numFmtId="3" fontId="22" fillId="0" borderId="243" xfId="8" applyNumberFormat="1" applyFont="1" applyFill="1" applyBorder="1" applyAlignment="1">
      <alignment horizontal="center" vertical="center" wrapText="1"/>
    </xf>
    <xf numFmtId="0" fontId="22" fillId="0" borderId="55" xfId="8" applyFont="1" applyFill="1" applyBorder="1" applyAlignment="1">
      <alignment horizontal="center" vertical="center" wrapText="1"/>
    </xf>
    <xf numFmtId="3" fontId="22" fillId="0" borderId="103" xfId="8" applyNumberFormat="1" applyFont="1" applyFill="1" applyBorder="1" applyAlignment="1">
      <alignment horizontal="center" vertical="center" wrapText="1"/>
    </xf>
    <xf numFmtId="3" fontId="22" fillId="0" borderId="244" xfId="8" applyNumberFormat="1" applyFont="1" applyFill="1" applyBorder="1" applyAlignment="1">
      <alignment horizontal="center" vertical="center" wrapText="1"/>
    </xf>
    <xf numFmtId="3" fontId="22" fillId="0" borderId="245" xfId="8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2" fillId="0" borderId="160" xfId="8" applyFont="1" applyFill="1" applyBorder="1" applyAlignment="1">
      <alignment horizontal="left" vertical="center"/>
    </xf>
    <xf numFmtId="0" fontId="22" fillId="0" borderId="71" xfId="8" applyFont="1" applyFill="1" applyBorder="1" applyAlignment="1">
      <alignment horizontal="center" vertical="center"/>
    </xf>
    <xf numFmtId="0" fontId="22" fillId="0" borderId="248" xfId="8" applyFont="1" applyFill="1" applyBorder="1" applyAlignment="1">
      <alignment horizontal="center" vertical="center"/>
    </xf>
    <xf numFmtId="0" fontId="8" fillId="0" borderId="250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12" fillId="0" borderId="251" xfId="0" applyFont="1" applyBorder="1" applyAlignment="1">
      <alignment horizontal="center" vertical="center" textRotation="90"/>
    </xf>
    <xf numFmtId="0" fontId="11" fillId="0" borderId="228" xfId="0" applyFont="1" applyBorder="1" applyAlignment="1">
      <alignment horizontal="center" vertical="center" textRotation="90"/>
    </xf>
    <xf numFmtId="0" fontId="8" fillId="0" borderId="133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252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224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6" fillId="0" borderId="249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right"/>
    </xf>
    <xf numFmtId="0" fontId="10" fillId="0" borderId="29" xfId="0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0" borderId="31" xfId="0" applyNumberFormat="1" applyFont="1" applyBorder="1" applyAlignment="1">
      <alignment horizontal="right"/>
    </xf>
    <xf numFmtId="0" fontId="65" fillId="0" borderId="27" xfId="0" applyFont="1" applyFill="1" applyBorder="1" applyAlignment="1">
      <alignment horizontal="center" vertical="center"/>
    </xf>
    <xf numFmtId="0" fontId="65" fillId="0" borderId="82" xfId="0" applyFont="1" applyFill="1" applyBorder="1" applyAlignment="1">
      <alignment horizontal="center" vertical="center"/>
    </xf>
    <xf numFmtId="3" fontId="65" fillId="0" borderId="29" xfId="0" applyNumberFormat="1" applyFont="1" applyFill="1" applyBorder="1" applyAlignment="1">
      <alignment horizontal="right" vertical="center"/>
    </xf>
    <xf numFmtId="3" fontId="65" fillId="0" borderId="253" xfId="0" applyNumberFormat="1" applyFont="1" applyFill="1" applyBorder="1" applyAlignment="1">
      <alignment horizontal="right" vertical="center"/>
    </xf>
    <xf numFmtId="0" fontId="65" fillId="0" borderId="254" xfId="0" applyFont="1" applyBorder="1" applyAlignment="1">
      <alignment horizontal="center" vertical="center" wrapText="1"/>
    </xf>
    <xf numFmtId="0" fontId="65" fillId="0" borderId="69" xfId="0" applyFont="1" applyBorder="1" applyAlignment="1">
      <alignment horizontal="center" vertical="center" wrapText="1"/>
    </xf>
    <xf numFmtId="0" fontId="65" fillId="0" borderId="255" xfId="0" applyFont="1" applyBorder="1" applyAlignment="1">
      <alignment horizontal="center" vertical="center" wrapText="1"/>
    </xf>
    <xf numFmtId="0" fontId="65" fillId="0" borderId="237" xfId="0" applyFont="1" applyBorder="1" applyAlignment="1">
      <alignment horizontal="center" vertical="center" wrapText="1"/>
    </xf>
    <xf numFmtId="0" fontId="65" fillId="0" borderId="8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65" fillId="0" borderId="65" xfId="0" applyNumberFormat="1" applyFont="1" applyFill="1" applyBorder="1" applyAlignment="1">
      <alignment horizontal="right" vertical="center"/>
    </xf>
    <xf numFmtId="3" fontId="65" fillId="0" borderId="213" xfId="0" applyNumberFormat="1" applyFont="1" applyFill="1" applyBorder="1" applyAlignment="1">
      <alignment horizontal="right" vertical="center"/>
    </xf>
    <xf numFmtId="0" fontId="65" fillId="0" borderId="198" xfId="0" applyFont="1" applyBorder="1" applyAlignment="1">
      <alignment horizontal="center" vertical="center"/>
    </xf>
    <xf numFmtId="0" fontId="65" fillId="0" borderId="199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65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right" vertical="center"/>
    </xf>
    <xf numFmtId="0" fontId="64" fillId="0" borderId="0" xfId="0" applyFont="1" applyBorder="1" applyAlignment="1">
      <alignment horizontal="right"/>
    </xf>
    <xf numFmtId="0" fontId="65" fillId="0" borderId="187" xfId="0" applyFont="1" applyBorder="1" applyAlignment="1">
      <alignment horizontal="center" vertical="center"/>
    </xf>
    <xf numFmtId="0" fontId="65" fillId="0" borderId="18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88" xfId="0" applyNumberFormat="1" applyFont="1" applyBorder="1" applyAlignment="1">
      <alignment horizontal="center" vertical="center"/>
    </xf>
    <xf numFmtId="3" fontId="10" fillId="0" borderId="256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 wrapText="1"/>
    </xf>
    <xf numFmtId="3" fontId="44" fillId="0" borderId="0" xfId="0" applyNumberFormat="1" applyFont="1" applyBorder="1" applyAlignment="1">
      <alignment horizontal="center" vertical="center"/>
    </xf>
    <xf numFmtId="3" fontId="79" fillId="0" borderId="0" xfId="0" applyNumberFormat="1" applyFont="1" applyBorder="1" applyAlignment="1">
      <alignment horizontal="center" vertical="center" wrapText="1"/>
    </xf>
    <xf numFmtId="3" fontId="56" fillId="0" borderId="29" xfId="0" applyNumberFormat="1" applyFont="1" applyBorder="1" applyAlignment="1">
      <alignment horizontal="center" vertical="center"/>
    </xf>
    <xf numFmtId="3" fontId="66" fillId="0" borderId="202" xfId="5" applyNumberFormat="1" applyFont="1" applyBorder="1" applyAlignment="1">
      <alignment horizontal="center" vertical="center" wrapText="1"/>
    </xf>
    <xf numFmtId="3" fontId="66" fillId="0" borderId="200" xfId="5" applyNumberFormat="1" applyFont="1" applyBorder="1" applyAlignment="1">
      <alignment horizontal="center" vertical="center" wrapText="1"/>
    </xf>
    <xf numFmtId="0" fontId="66" fillId="0" borderId="57" xfId="5" applyFont="1" applyBorder="1" applyAlignment="1">
      <alignment horizontal="center" vertical="center"/>
    </xf>
    <xf numFmtId="0" fontId="66" fillId="0" borderId="38" xfId="5" applyFont="1" applyBorder="1" applyAlignment="1">
      <alignment horizontal="center" vertical="center"/>
    </xf>
    <xf numFmtId="0" fontId="66" fillId="0" borderId="39" xfId="5" applyFont="1" applyBorder="1" applyAlignment="1">
      <alignment horizontal="center" vertical="center"/>
    </xf>
    <xf numFmtId="3" fontId="66" fillId="0" borderId="202" xfId="5" applyNumberFormat="1" applyFont="1" applyBorder="1" applyAlignment="1">
      <alignment horizontal="center" vertical="center"/>
    </xf>
    <xf numFmtId="3" fontId="66" fillId="0" borderId="60" xfId="5" applyNumberFormat="1" applyFont="1" applyBorder="1" applyAlignment="1">
      <alignment horizontal="center" vertical="center"/>
    </xf>
    <xf numFmtId="0" fontId="70" fillId="0" borderId="0" xfId="5" applyFont="1" applyAlignment="1">
      <alignment horizontal="center"/>
    </xf>
    <xf numFmtId="0" fontId="66" fillId="0" borderId="60" xfId="5" applyFont="1" applyBorder="1" applyAlignment="1">
      <alignment horizontal="center" vertical="center"/>
    </xf>
    <xf numFmtId="0" fontId="66" fillId="0" borderId="27" xfId="5" applyFont="1" applyBorder="1" applyAlignment="1">
      <alignment horizontal="center" vertical="center"/>
    </xf>
    <xf numFmtId="3" fontId="66" fillId="0" borderId="29" xfId="5" applyNumberFormat="1" applyFont="1" applyBorder="1" applyAlignment="1">
      <alignment horizontal="center" vertical="center" wrapText="1"/>
    </xf>
    <xf numFmtId="3" fontId="66" fillId="0" borderId="65" xfId="5" applyNumberFormat="1" applyFont="1" applyBorder="1" applyAlignment="1">
      <alignment horizontal="center" vertical="center" wrapText="1"/>
    </xf>
    <xf numFmtId="0" fontId="66" fillId="0" borderId="91" xfId="5" applyFont="1" applyBorder="1" applyAlignment="1">
      <alignment horizontal="center" vertical="center"/>
    </xf>
    <xf numFmtId="0" fontId="66" fillId="0" borderId="162" xfId="5" applyFont="1" applyBorder="1" applyAlignment="1">
      <alignment horizontal="center" vertical="center"/>
    </xf>
    <xf numFmtId="0" fontId="66" fillId="0" borderId="41" xfId="5" applyFont="1" applyBorder="1" applyAlignment="1">
      <alignment horizontal="center" vertical="center"/>
    </xf>
    <xf numFmtId="3" fontId="66" fillId="0" borderId="95" xfId="5" applyNumberFormat="1" applyFont="1" applyBorder="1" applyAlignment="1">
      <alignment horizontal="center" vertical="center" wrapText="1"/>
    </xf>
    <xf numFmtId="3" fontId="66" fillId="0" borderId="52" xfId="5" applyNumberFormat="1" applyFont="1" applyBorder="1" applyAlignment="1">
      <alignment horizontal="center" vertical="center" wrapText="1"/>
    </xf>
  </cellXfs>
  <cellStyles count="9">
    <cellStyle name="Normál" xfId="0" builtinId="0"/>
    <cellStyle name="Normál 2" xfId="1" xr:uid="{1CA1A033-213A-43E4-BA04-671FFF100C4A}"/>
    <cellStyle name="Normál 3" xfId="2" xr:uid="{90014A4A-F900-435C-B35E-7683591F98CB}"/>
    <cellStyle name="Normál_9702KV1_2011 ktv. táblák" xfId="3" xr:uid="{9B472B55-845F-4BEC-87C0-A5B15A96D956}"/>
    <cellStyle name="Normál_Beruh.felú-átadott-átvett" xfId="4" xr:uid="{494A985B-1C93-4653-A19F-9E052F385338}"/>
    <cellStyle name="Normál_Brigitől kisebbségek_Munkafüzet1" xfId="5" xr:uid="{C7898D39-9D43-41F7-85AB-E69A34F10E51}"/>
    <cellStyle name="Normál_Munkafüzet1_1" xfId="6" xr:uid="{2120885D-8272-4966-9130-E3480B827408}"/>
    <cellStyle name="Normál_Munkafüzet3" xfId="7" xr:uid="{0B1DECC5-AF90-47BF-A529-3DAAC2CEA0E9}"/>
    <cellStyle name="TableStyleLight1" xfId="8" xr:uid="{68CD125F-1E60-4EBF-8B21-D0E44ED311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4B46-14D5-4543-ACC5-636D64D68C97}">
  <sheetPr>
    <pageSetUpPr fitToPage="1"/>
  </sheetPr>
  <dimension ref="A1:K47"/>
  <sheetViews>
    <sheetView workbookViewId="0">
      <selection activeCell="D34" sqref="D34:H34"/>
    </sheetView>
  </sheetViews>
  <sheetFormatPr defaultRowHeight="12"/>
  <cols>
    <col min="1" max="1" width="42.5703125" style="382" customWidth="1"/>
    <col min="2" max="2" width="14" style="382" customWidth="1"/>
    <col min="3" max="4" width="13.5703125" style="382" customWidth="1"/>
    <col min="5" max="5" width="12.42578125" style="382" customWidth="1"/>
    <col min="6" max="6" width="13" style="382" customWidth="1"/>
    <col min="7" max="7" width="11.42578125" style="382" customWidth="1"/>
    <col min="8" max="8" width="12" style="382" customWidth="1"/>
    <col min="9" max="9" width="15.140625" style="382" customWidth="1"/>
    <col min="10" max="10" width="9.140625" style="382"/>
    <col min="11" max="11" width="10.85546875" style="382" bestFit="1" customWidth="1"/>
    <col min="12" max="16384" width="9.140625" style="382"/>
  </cols>
  <sheetData>
    <row r="1" spans="1:9">
      <c r="A1" s="381" t="s">
        <v>234</v>
      </c>
      <c r="B1" s="76" t="s">
        <v>765</v>
      </c>
    </row>
    <row r="2" spans="1:9">
      <c r="A2" s="381"/>
    </row>
    <row r="3" spans="1:9" ht="12.75">
      <c r="A3" s="1089" t="s">
        <v>690</v>
      </c>
      <c r="B3" s="1090"/>
      <c r="C3" s="1090"/>
      <c r="D3" s="1090"/>
      <c r="E3" s="1090"/>
      <c r="F3" s="1090"/>
      <c r="G3" s="1090"/>
      <c r="H3" s="1090"/>
      <c r="I3" s="1090"/>
    </row>
    <row r="4" spans="1:9">
      <c r="A4" s="383"/>
    </row>
    <row r="5" spans="1:9">
      <c r="A5" s="384"/>
      <c r="B5" s="384"/>
      <c r="C5" s="384"/>
    </row>
    <row r="6" spans="1:9" ht="12.75" thickBot="1">
      <c r="I6" s="661" t="s">
        <v>641</v>
      </c>
    </row>
    <row r="7" spans="1:9" ht="48.75" thickBot="1">
      <c r="A7" s="385" t="s">
        <v>55</v>
      </c>
      <c r="B7" s="406" t="s">
        <v>689</v>
      </c>
      <c r="C7" s="406" t="s">
        <v>842</v>
      </c>
      <c r="D7" s="1047" t="s">
        <v>515</v>
      </c>
      <c r="E7" s="1048" t="s">
        <v>330</v>
      </c>
      <c r="F7" s="1049" t="s">
        <v>57</v>
      </c>
      <c r="G7" s="1050" t="s">
        <v>516</v>
      </c>
      <c r="H7" s="386" t="s">
        <v>229</v>
      </c>
      <c r="I7" s="387" t="s">
        <v>56</v>
      </c>
    </row>
    <row r="8" spans="1:9">
      <c r="A8" s="388" t="s">
        <v>59</v>
      </c>
      <c r="B8" s="597"/>
      <c r="C8" s="597"/>
      <c r="D8" s="610"/>
      <c r="E8" s="611"/>
      <c r="F8" s="612"/>
      <c r="G8" s="612"/>
      <c r="H8" s="612"/>
      <c r="I8" s="613"/>
    </row>
    <row r="9" spans="1:9">
      <c r="A9" s="389" t="s">
        <v>140</v>
      </c>
      <c r="B9" s="598">
        <v>1213172851</v>
      </c>
      <c r="C9" s="598">
        <f t="shared" ref="C9:C25" si="0">SUM(D9:I9)</f>
        <v>1286960710.2</v>
      </c>
      <c r="D9" s="614"/>
      <c r="E9" s="615"/>
      <c r="F9" s="616"/>
      <c r="G9" s="616"/>
      <c r="H9" s="616"/>
      <c r="I9" s="617">
        <f>b_k_ré!D13</f>
        <v>1286960710.2</v>
      </c>
    </row>
    <row r="10" spans="1:9">
      <c r="A10" s="389" t="s">
        <v>176</v>
      </c>
      <c r="B10" s="598">
        <v>0</v>
      </c>
      <c r="C10" s="598">
        <f t="shared" si="0"/>
        <v>0</v>
      </c>
      <c r="D10" s="614"/>
      <c r="E10" s="615"/>
      <c r="F10" s="616"/>
      <c r="G10" s="616"/>
      <c r="H10" s="616"/>
      <c r="I10" s="618">
        <f>b_k_ré!J14</f>
        <v>0</v>
      </c>
    </row>
    <row r="11" spans="1:9">
      <c r="A11" s="389" t="s">
        <v>177</v>
      </c>
      <c r="B11" s="598">
        <v>0</v>
      </c>
      <c r="C11" s="598">
        <f t="shared" si="0"/>
        <v>0</v>
      </c>
      <c r="D11" s="614"/>
      <c r="E11" s="615"/>
      <c r="F11" s="616"/>
      <c r="G11" s="616"/>
      <c r="H11" s="616"/>
      <c r="I11" s="618"/>
    </row>
    <row r="12" spans="1:9">
      <c r="A12" s="389" t="s">
        <v>178</v>
      </c>
      <c r="B12" s="598">
        <v>0</v>
      </c>
      <c r="C12" s="598">
        <f t="shared" si="0"/>
        <v>0</v>
      </c>
      <c r="D12" s="614"/>
      <c r="E12" s="615"/>
      <c r="F12" s="616"/>
      <c r="G12" s="616"/>
      <c r="H12" s="616"/>
      <c r="I12" s="618"/>
    </row>
    <row r="13" spans="1:9">
      <c r="A13" s="389" t="s">
        <v>179</v>
      </c>
      <c r="B13" s="598">
        <v>0</v>
      </c>
      <c r="C13" s="598">
        <f t="shared" si="0"/>
        <v>0</v>
      </c>
      <c r="D13" s="614"/>
      <c r="E13" s="615"/>
      <c r="F13" s="616"/>
      <c r="G13" s="616"/>
      <c r="H13" s="616"/>
      <c r="I13" s="618"/>
    </row>
    <row r="14" spans="1:9" ht="12.75" thickBot="1">
      <c r="A14" s="390" t="s">
        <v>147</v>
      </c>
      <c r="B14" s="599">
        <v>37339009</v>
      </c>
      <c r="C14" s="599">
        <f t="shared" si="0"/>
        <v>49517243</v>
      </c>
      <c r="D14" s="619">
        <f>b_k_ré!E23</f>
        <v>10468958</v>
      </c>
      <c r="E14" s="620">
        <f>b_k_ré!F23</f>
        <v>0</v>
      </c>
      <c r="F14" s="620">
        <f>b_k_ré!G23</f>
        <v>0</v>
      </c>
      <c r="G14" s="621">
        <f>b_k_ré!H23</f>
        <v>0</v>
      </c>
      <c r="H14" s="621">
        <f>b_k_ré!I23</f>
        <v>0</v>
      </c>
      <c r="I14" s="622">
        <f>b_k_ré!J23</f>
        <v>39048285</v>
      </c>
    </row>
    <row r="15" spans="1:9" s="392" customFormat="1" ht="12.75" thickBot="1">
      <c r="A15" s="391" t="s">
        <v>141</v>
      </c>
      <c r="B15" s="600">
        <f>SUM(B9:B14)</f>
        <v>1250511860</v>
      </c>
      <c r="C15" s="600">
        <f t="shared" si="0"/>
        <v>1336477953.2</v>
      </c>
      <c r="D15" s="623">
        <f t="shared" ref="D15:I15" si="1">SUM(D9:D14)</f>
        <v>10468958</v>
      </c>
      <c r="E15" s="623">
        <f t="shared" si="1"/>
        <v>0</v>
      </c>
      <c r="F15" s="624">
        <f t="shared" si="1"/>
        <v>0</v>
      </c>
      <c r="G15" s="625">
        <f t="shared" si="1"/>
        <v>0</v>
      </c>
      <c r="H15" s="625">
        <f t="shared" si="1"/>
        <v>0</v>
      </c>
      <c r="I15" s="626">
        <f t="shared" si="1"/>
        <v>1326008995.2</v>
      </c>
    </row>
    <row r="16" spans="1:9">
      <c r="A16" s="393" t="s">
        <v>183</v>
      </c>
      <c r="B16" s="601">
        <v>1576900000</v>
      </c>
      <c r="C16" s="601">
        <f t="shared" si="0"/>
        <v>1576900000</v>
      </c>
      <c r="D16" s="627"/>
      <c r="E16" s="628"/>
      <c r="F16" s="629"/>
      <c r="G16" s="630"/>
      <c r="H16" s="630"/>
      <c r="I16" s="631">
        <f>b_k_ré!J28</f>
        <v>1576900000</v>
      </c>
    </row>
    <row r="17" spans="1:11">
      <c r="A17" s="389" t="s">
        <v>184</v>
      </c>
      <c r="B17" s="598">
        <v>0</v>
      </c>
      <c r="C17" s="598">
        <f t="shared" si="0"/>
        <v>0</v>
      </c>
      <c r="D17" s="632"/>
      <c r="E17" s="633"/>
      <c r="F17" s="634"/>
      <c r="G17" s="615"/>
      <c r="H17" s="615"/>
      <c r="I17" s="618"/>
    </row>
    <row r="18" spans="1:11">
      <c r="A18" s="389" t="s">
        <v>185</v>
      </c>
      <c r="B18" s="598">
        <v>0</v>
      </c>
      <c r="C18" s="598">
        <f t="shared" si="0"/>
        <v>0</v>
      </c>
      <c r="D18" s="632"/>
      <c r="E18" s="633"/>
      <c r="F18" s="634"/>
      <c r="G18" s="615"/>
      <c r="H18" s="615"/>
      <c r="I18" s="618"/>
    </row>
    <row r="19" spans="1:11">
      <c r="A19" s="389" t="s">
        <v>186</v>
      </c>
      <c r="B19" s="598">
        <v>0</v>
      </c>
      <c r="C19" s="598">
        <f t="shared" si="0"/>
        <v>0</v>
      </c>
      <c r="D19" s="632"/>
      <c r="E19" s="633"/>
      <c r="F19" s="634"/>
      <c r="G19" s="615"/>
      <c r="H19" s="615"/>
      <c r="I19" s="618"/>
    </row>
    <row r="20" spans="1:11" ht="12.75" thickBot="1">
      <c r="A20" s="390" t="s">
        <v>187</v>
      </c>
      <c r="B20" s="599">
        <v>11496538</v>
      </c>
      <c r="C20" s="599">
        <f t="shared" si="0"/>
        <v>11496538</v>
      </c>
      <c r="D20" s="619">
        <f>b_k_ré!E31</f>
        <v>0</v>
      </c>
      <c r="E20" s="620">
        <f>b_k_ré!F31</f>
        <v>0</v>
      </c>
      <c r="F20" s="620">
        <f>b_k_ré!G31</f>
        <v>0</v>
      </c>
      <c r="G20" s="621">
        <f>b_k_ré!H31</f>
        <v>0</v>
      </c>
      <c r="H20" s="621">
        <f>b_k_ré!I31</f>
        <v>0</v>
      </c>
      <c r="I20" s="622">
        <f>b_k_ré!D31</f>
        <v>11496538</v>
      </c>
    </row>
    <row r="21" spans="1:11" s="392" customFormat="1" ht="12.75" thickBot="1">
      <c r="A21" s="391" t="s">
        <v>142</v>
      </c>
      <c r="B21" s="600">
        <f>SUM(B16:B20)</f>
        <v>1588396538</v>
      </c>
      <c r="C21" s="600">
        <f t="shared" si="0"/>
        <v>1588396538</v>
      </c>
      <c r="D21" s="623">
        <f t="shared" ref="D21:I21" si="2">SUM(D16:D20)</f>
        <v>0</v>
      </c>
      <c r="E21" s="624">
        <f t="shared" si="2"/>
        <v>0</v>
      </c>
      <c r="F21" s="624">
        <f t="shared" si="2"/>
        <v>0</v>
      </c>
      <c r="G21" s="625">
        <f t="shared" si="2"/>
        <v>0</v>
      </c>
      <c r="H21" s="625">
        <f t="shared" si="2"/>
        <v>0</v>
      </c>
      <c r="I21" s="626">
        <f t="shared" si="2"/>
        <v>1588396538</v>
      </c>
    </row>
    <row r="22" spans="1:11">
      <c r="A22" s="393" t="s">
        <v>143</v>
      </c>
      <c r="B22" s="601">
        <v>0</v>
      </c>
      <c r="C22" s="601">
        <f t="shared" si="0"/>
        <v>0</v>
      </c>
      <c r="D22" s="627"/>
      <c r="E22" s="635"/>
      <c r="F22" s="630"/>
      <c r="G22" s="636"/>
      <c r="H22" s="636"/>
      <c r="I22" s="631">
        <f>b_k_ré!J32</f>
        <v>0</v>
      </c>
    </row>
    <row r="23" spans="1:11">
      <c r="A23" s="389" t="s">
        <v>169</v>
      </c>
      <c r="B23" s="598">
        <v>83000000</v>
      </c>
      <c r="C23" s="598">
        <f t="shared" si="0"/>
        <v>83000000</v>
      </c>
      <c r="D23" s="614"/>
      <c r="E23" s="615"/>
      <c r="F23" s="616"/>
      <c r="G23" s="616"/>
      <c r="H23" s="616"/>
      <c r="I23" s="618">
        <f>b_k_ré!J35</f>
        <v>83000000</v>
      </c>
    </row>
    <row r="24" spans="1:11">
      <c r="A24" s="389" t="s">
        <v>144</v>
      </c>
      <c r="B24" s="598">
        <v>310500000</v>
      </c>
      <c r="C24" s="598">
        <f t="shared" si="0"/>
        <v>310500000</v>
      </c>
      <c r="D24" s="614"/>
      <c r="E24" s="615"/>
      <c r="F24" s="616"/>
      <c r="G24" s="616"/>
      <c r="H24" s="616"/>
      <c r="I24" s="618">
        <f>b_k_ré!J42</f>
        <v>310500000</v>
      </c>
    </row>
    <row r="25" spans="1:11">
      <c r="A25" s="389" t="s">
        <v>145</v>
      </c>
      <c r="B25" s="598">
        <v>7267020</v>
      </c>
      <c r="C25" s="598">
        <f t="shared" si="0"/>
        <v>7267020</v>
      </c>
      <c r="D25" s="614">
        <f>b_k_ré!E47</f>
        <v>420000</v>
      </c>
      <c r="E25" s="615"/>
      <c r="F25" s="616"/>
      <c r="G25" s="616"/>
      <c r="H25" s="616"/>
      <c r="I25" s="618">
        <f>b_k_ré!J47</f>
        <v>6847020</v>
      </c>
    </row>
    <row r="26" spans="1:11" s="392" customFormat="1">
      <c r="A26" s="394" t="s">
        <v>0</v>
      </c>
      <c r="B26" s="602">
        <f>SUM(B22:B25)</f>
        <v>400767020</v>
      </c>
      <c r="C26" s="602">
        <f t="shared" ref="C26:I26" si="3">SUM(C22:C25)</f>
        <v>400767020</v>
      </c>
      <c r="D26" s="637">
        <f t="shared" si="3"/>
        <v>420000</v>
      </c>
      <c r="E26" s="638">
        <f t="shared" si="3"/>
        <v>0</v>
      </c>
      <c r="F26" s="638">
        <f t="shared" si="3"/>
        <v>0</v>
      </c>
      <c r="G26" s="638">
        <f t="shared" si="3"/>
        <v>0</v>
      </c>
      <c r="H26" s="638">
        <f t="shared" si="3"/>
        <v>0</v>
      </c>
      <c r="I26" s="639">
        <f t="shared" si="3"/>
        <v>400347020</v>
      </c>
    </row>
    <row r="27" spans="1:11" s="392" customFormat="1">
      <c r="A27" s="394" t="s">
        <v>104</v>
      </c>
      <c r="B27" s="602">
        <v>455525845</v>
      </c>
      <c r="C27" s="602">
        <f>SUM(D27:I27)</f>
        <v>455525845</v>
      </c>
      <c r="D27" s="602">
        <f>b_k_ré!E71</f>
        <v>4834809</v>
      </c>
      <c r="E27" s="638">
        <f>b_k_ré!F71</f>
        <v>45338572</v>
      </c>
      <c r="F27" s="638">
        <f>b_k_ré!G71</f>
        <v>11909050</v>
      </c>
      <c r="G27" s="640">
        <f>b_k_ré!H71</f>
        <v>0</v>
      </c>
      <c r="H27" s="640">
        <f>b_k_ré!I71</f>
        <v>166628539</v>
      </c>
      <c r="I27" s="639">
        <f>b_k_ré!J71</f>
        <v>226814875</v>
      </c>
    </row>
    <row r="28" spans="1:11" s="392" customFormat="1">
      <c r="A28" s="394" t="s">
        <v>148</v>
      </c>
      <c r="B28" s="602">
        <v>0</v>
      </c>
      <c r="C28" s="602">
        <f>SUM(D28:I28)</f>
        <v>0</v>
      </c>
      <c r="D28" s="638">
        <f>b_k_ré!E78</f>
        <v>0</v>
      </c>
      <c r="E28" s="638">
        <f>b_k_ré!F78</f>
        <v>0</v>
      </c>
      <c r="F28" s="638">
        <f>b_k_ré!G78</f>
        <v>0</v>
      </c>
      <c r="G28" s="638">
        <f>b_k_ré!H78</f>
        <v>0</v>
      </c>
      <c r="H28" s="638">
        <f>b_k_ré!I78</f>
        <v>0</v>
      </c>
      <c r="I28" s="639">
        <f>b_k_ré!J78</f>
        <v>0</v>
      </c>
    </row>
    <row r="29" spans="1:11" s="392" customFormat="1">
      <c r="A29" s="394" t="s">
        <v>149</v>
      </c>
      <c r="B29" s="602">
        <v>39694923</v>
      </c>
      <c r="C29" s="602">
        <f>SUM(D29:I29)</f>
        <v>15539847</v>
      </c>
      <c r="D29" s="637">
        <f>b_k_ré!E83</f>
        <v>0</v>
      </c>
      <c r="E29" s="638">
        <f>b_k_ré!F83</f>
        <v>0</v>
      </c>
      <c r="F29" s="638">
        <f>b_k_ré!G83</f>
        <v>0</v>
      </c>
      <c r="G29" s="638">
        <f>b_k_ré!H83</f>
        <v>0</v>
      </c>
      <c r="H29" s="638">
        <f>b_k_ré!I83</f>
        <v>15539847</v>
      </c>
      <c r="I29" s="639">
        <f>b_k_ré!J83+b_k_ré!J80</f>
        <v>0</v>
      </c>
    </row>
    <row r="30" spans="1:11" s="392" customFormat="1" ht="12.75" thickBot="1">
      <c r="A30" s="394" t="s">
        <v>150</v>
      </c>
      <c r="B30" s="602">
        <v>1837200</v>
      </c>
      <c r="C30" s="602">
        <f>SUM(D30:I30)</f>
        <v>1837200</v>
      </c>
      <c r="D30" s="641">
        <f>b_k_ré!E94</f>
        <v>1837200</v>
      </c>
      <c r="E30" s="641">
        <f>b_k_ré!F94</f>
        <v>0</v>
      </c>
      <c r="F30" s="641">
        <f>b_k_ré!G94</f>
        <v>0</v>
      </c>
      <c r="G30" s="641">
        <f>b_k_ré!H94</f>
        <v>0</v>
      </c>
      <c r="H30" s="641">
        <f>b_k_ré!I94</f>
        <v>0</v>
      </c>
      <c r="I30" s="642">
        <f>b_k_ré!J94</f>
        <v>0</v>
      </c>
    </row>
    <row r="31" spans="1:11" s="396" customFormat="1" ht="13.5" thickBot="1">
      <c r="A31" s="395" t="s">
        <v>61</v>
      </c>
      <c r="B31" s="603">
        <f>B15+B21+B26+B27+B28+B29+B30</f>
        <v>3736733386</v>
      </c>
      <c r="C31" s="603">
        <f t="shared" ref="C31:I31" si="4">C15+C21+C26+C27+C28+C29+C30</f>
        <v>3798544403.1999998</v>
      </c>
      <c r="D31" s="643">
        <f t="shared" si="4"/>
        <v>17560967</v>
      </c>
      <c r="E31" s="644">
        <f t="shared" si="4"/>
        <v>45338572</v>
      </c>
      <c r="F31" s="644">
        <f t="shared" si="4"/>
        <v>11909050</v>
      </c>
      <c r="G31" s="644">
        <f t="shared" si="4"/>
        <v>0</v>
      </c>
      <c r="H31" s="644">
        <f t="shared" si="4"/>
        <v>182168386</v>
      </c>
      <c r="I31" s="645">
        <f t="shared" si="4"/>
        <v>3541567428.1999998</v>
      </c>
      <c r="K31" s="397"/>
    </row>
    <row r="32" spans="1:11">
      <c r="A32" s="398" t="s">
        <v>157</v>
      </c>
      <c r="B32" s="604">
        <v>0</v>
      </c>
      <c r="C32" s="604">
        <f>SUM(D32:I32)</f>
        <v>0</v>
      </c>
      <c r="D32" s="610"/>
      <c r="E32" s="611"/>
      <c r="F32" s="612"/>
      <c r="G32" s="612"/>
      <c r="H32" s="612"/>
      <c r="I32" s="613"/>
    </row>
    <row r="33" spans="1:9">
      <c r="A33" s="389" t="s">
        <v>158</v>
      </c>
      <c r="B33" s="605">
        <v>0</v>
      </c>
      <c r="C33" s="605">
        <f t="shared" ref="C33:C38" si="5">SUM(D33:I33)</f>
        <v>0</v>
      </c>
      <c r="D33" s="614"/>
      <c r="E33" s="615"/>
      <c r="F33" s="616"/>
      <c r="G33" s="616"/>
      <c r="H33" s="616"/>
      <c r="I33" s="618"/>
    </row>
    <row r="34" spans="1:9">
      <c r="A34" s="393" t="s">
        <v>159</v>
      </c>
      <c r="B34" s="605">
        <v>3050000000</v>
      </c>
      <c r="C34" s="605">
        <f t="shared" si="5"/>
        <v>3067838533</v>
      </c>
      <c r="D34" s="988">
        <v>4581088</v>
      </c>
      <c r="E34" s="615">
        <v>116779</v>
      </c>
      <c r="F34" s="616">
        <v>1998231</v>
      </c>
      <c r="G34" s="616">
        <v>1034805</v>
      </c>
      <c r="H34" s="616">
        <v>2731566</v>
      </c>
      <c r="I34" s="618">
        <f>3050000000+7376064</f>
        <v>3057376064</v>
      </c>
    </row>
    <row r="35" spans="1:9">
      <c r="A35" s="389" t="s">
        <v>37</v>
      </c>
      <c r="B35" s="606">
        <v>0</v>
      </c>
      <c r="C35" s="606">
        <f t="shared" si="5"/>
        <v>71302</v>
      </c>
      <c r="D35" s="614"/>
      <c r="E35" s="615"/>
      <c r="F35" s="616"/>
      <c r="G35" s="616"/>
      <c r="H35" s="616"/>
      <c r="I35" s="618">
        <v>71302</v>
      </c>
    </row>
    <row r="36" spans="1:9">
      <c r="A36" s="389" t="s">
        <v>222</v>
      </c>
      <c r="B36" s="605">
        <v>0</v>
      </c>
      <c r="C36" s="605">
        <f t="shared" si="5"/>
        <v>0</v>
      </c>
      <c r="D36" s="614"/>
      <c r="E36" s="615"/>
      <c r="F36" s="616"/>
      <c r="G36" s="616"/>
      <c r="H36" s="616"/>
      <c r="I36" s="618"/>
    </row>
    <row r="37" spans="1:9">
      <c r="A37" s="389" t="s">
        <v>160</v>
      </c>
      <c r="B37" s="605">
        <v>1340666026</v>
      </c>
      <c r="C37" s="605">
        <f t="shared" si="5"/>
        <v>1386359074</v>
      </c>
      <c r="D37" s="614">
        <f>b_k_ré!J144</f>
        <v>320825848</v>
      </c>
      <c r="E37" s="616">
        <f>b_k_ré!J145</f>
        <v>232267856</v>
      </c>
      <c r="F37" s="616">
        <f>b_k_ré!J147</f>
        <v>87124329</v>
      </c>
      <c r="G37" s="616">
        <f>b_k_ré!J148</f>
        <v>276705274</v>
      </c>
      <c r="H37" s="616">
        <f>b_k_ré!J146</f>
        <v>469435767</v>
      </c>
      <c r="I37" s="618"/>
    </row>
    <row r="38" spans="1:9" ht="12.75" thickBot="1">
      <c r="A38" s="390" t="s">
        <v>360</v>
      </c>
      <c r="B38" s="607">
        <v>0</v>
      </c>
      <c r="C38" s="607">
        <f t="shared" si="5"/>
        <v>0</v>
      </c>
      <c r="D38" s="646"/>
      <c r="E38" s="621"/>
      <c r="F38" s="647"/>
      <c r="G38" s="647"/>
      <c r="H38" s="647"/>
      <c r="I38" s="622"/>
    </row>
    <row r="39" spans="1:9" s="392" customFormat="1" ht="12.75" thickBot="1">
      <c r="A39" s="391" t="s">
        <v>161</v>
      </c>
      <c r="B39" s="600">
        <f>SUM(B32:B38)</f>
        <v>4390666026</v>
      </c>
      <c r="C39" s="600">
        <f>SUM(D39:I39)</f>
        <v>4454268909</v>
      </c>
      <c r="D39" s="648">
        <f t="shared" ref="D39:I39" si="6">SUM(D32:D38)</f>
        <v>325406936</v>
      </c>
      <c r="E39" s="649">
        <f t="shared" si="6"/>
        <v>232384635</v>
      </c>
      <c r="F39" s="649">
        <f t="shared" si="6"/>
        <v>89122560</v>
      </c>
      <c r="G39" s="649">
        <f t="shared" si="6"/>
        <v>277740079</v>
      </c>
      <c r="H39" s="649">
        <f t="shared" si="6"/>
        <v>472167333</v>
      </c>
      <c r="I39" s="626">
        <f t="shared" si="6"/>
        <v>3057447366</v>
      </c>
    </row>
    <row r="40" spans="1:9" s="392" customFormat="1" ht="12.75" thickBot="1">
      <c r="A40" s="391" t="s">
        <v>162</v>
      </c>
      <c r="B40" s="600">
        <v>0</v>
      </c>
      <c r="C40" s="600">
        <f>SUM(D40:I40)</f>
        <v>0</v>
      </c>
      <c r="D40" s="648"/>
      <c r="E40" s="625"/>
      <c r="F40" s="649"/>
      <c r="G40" s="649"/>
      <c r="H40" s="649"/>
      <c r="I40" s="626"/>
    </row>
    <row r="41" spans="1:9" s="392" customFormat="1" ht="12.75" thickBot="1">
      <c r="A41" s="391" t="s">
        <v>38</v>
      </c>
      <c r="B41" s="600">
        <v>0</v>
      </c>
      <c r="C41" s="600">
        <f>SUM(D41:I41)</f>
        <v>0</v>
      </c>
      <c r="D41" s="650"/>
      <c r="E41" s="651"/>
      <c r="F41" s="624"/>
      <c r="G41" s="652"/>
      <c r="H41" s="653"/>
      <c r="I41" s="654"/>
    </row>
    <row r="42" spans="1:9" s="400" customFormat="1" ht="13.5" thickBot="1">
      <c r="A42" s="399" t="s">
        <v>81</v>
      </c>
      <c r="B42" s="608">
        <f>B39+B40+B41</f>
        <v>4390666026</v>
      </c>
      <c r="C42" s="608">
        <f t="shared" ref="C42:I42" si="7">C39+C40+C41</f>
        <v>4454268909</v>
      </c>
      <c r="D42" s="655">
        <f t="shared" si="7"/>
        <v>325406936</v>
      </c>
      <c r="E42" s="656">
        <f>E39+E40+E41</f>
        <v>232384635</v>
      </c>
      <c r="F42" s="656">
        <f t="shared" si="7"/>
        <v>89122560</v>
      </c>
      <c r="G42" s="656">
        <f t="shared" si="7"/>
        <v>277740079</v>
      </c>
      <c r="H42" s="656">
        <f t="shared" si="7"/>
        <v>472167333</v>
      </c>
      <c r="I42" s="657">
        <f t="shared" si="7"/>
        <v>3057447366</v>
      </c>
    </row>
    <row r="43" spans="1:9" s="400" customFormat="1" ht="13.5" thickBot="1">
      <c r="A43" s="401" t="s">
        <v>90</v>
      </c>
      <c r="B43" s="609">
        <f>B42+B31</f>
        <v>8127399412</v>
      </c>
      <c r="C43" s="609">
        <f t="shared" ref="C43:I43" si="8">C42+C31</f>
        <v>8252813312.1999998</v>
      </c>
      <c r="D43" s="658">
        <f t="shared" si="8"/>
        <v>342967903</v>
      </c>
      <c r="E43" s="659">
        <f>E42+E31</f>
        <v>277723207</v>
      </c>
      <c r="F43" s="659">
        <f t="shared" si="8"/>
        <v>101031610</v>
      </c>
      <c r="G43" s="659">
        <f t="shared" si="8"/>
        <v>277740079</v>
      </c>
      <c r="H43" s="659">
        <f t="shared" si="8"/>
        <v>654335719</v>
      </c>
      <c r="I43" s="660">
        <f t="shared" si="8"/>
        <v>6599014794.1999998</v>
      </c>
    </row>
    <row r="44" spans="1:9" s="402" customFormat="1">
      <c r="B44" s="403"/>
      <c r="C44" s="403"/>
      <c r="D44" s="404"/>
      <c r="E44" s="404"/>
      <c r="F44" s="404"/>
      <c r="G44" s="404"/>
      <c r="H44" s="404"/>
      <c r="I44" s="404"/>
    </row>
    <row r="45" spans="1:9" hidden="1">
      <c r="B45" s="405"/>
      <c r="C45" s="405">
        <f>C43-'kiad-int'!C33</f>
        <v>0.19999980926513672</v>
      </c>
      <c r="D45" s="405">
        <f>D43-'kiad-int'!D33</f>
        <v>0</v>
      </c>
      <c r="E45" s="405">
        <f>E43-'kiad-int'!E33</f>
        <v>0</v>
      </c>
      <c r="F45" s="405">
        <f>F43-'kiad-int'!F33</f>
        <v>0</v>
      </c>
      <c r="G45" s="405">
        <f>G43-'kiad-int'!G33</f>
        <v>0</v>
      </c>
      <c r="H45" s="405">
        <f>H43-'kiad-int'!H33</f>
        <v>0</v>
      </c>
      <c r="I45" s="405">
        <f>I43-'kiad-int'!I33</f>
        <v>0.19999980926513672</v>
      </c>
    </row>
    <row r="46" spans="1:9">
      <c r="I46" s="405"/>
    </row>
    <row r="47" spans="1:9">
      <c r="I47" s="405"/>
    </row>
  </sheetData>
  <mergeCells count="1">
    <mergeCell ref="A3:I3"/>
  </mergeCells>
  <phoneticPr fontId="1" type="noConversion"/>
  <printOptions horizontalCentered="1"/>
  <pageMargins left="0.17" right="0.16" top="0.55118110236220474" bottom="0" header="0.51181102362204722" footer="0.39"/>
  <pageSetup paperSize="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0524-50AC-4CB3-9CCA-524BF080D98A}">
  <sheetPr>
    <pageSetUpPr fitToPage="1"/>
  </sheetPr>
  <dimension ref="A1:Z75"/>
  <sheetViews>
    <sheetView workbookViewId="0">
      <selection activeCell="T20" sqref="T20:T21"/>
    </sheetView>
  </sheetViews>
  <sheetFormatPr defaultRowHeight="12.75"/>
  <cols>
    <col min="1" max="1" width="11.5703125" customWidth="1"/>
    <col min="2" max="2" width="42.7109375" style="485" customWidth="1"/>
    <col min="3" max="3" width="10.5703125" customWidth="1"/>
    <col min="4" max="4" width="11.42578125" customWidth="1"/>
    <col min="5" max="5" width="10.85546875" customWidth="1"/>
    <col min="6" max="6" width="10.5703125" customWidth="1"/>
    <col min="7" max="8" width="9.42578125" customWidth="1"/>
    <col min="9" max="9" width="9.42578125" bestFit="1" customWidth="1"/>
    <col min="10" max="10" width="10.140625" customWidth="1"/>
    <col min="11" max="11" width="9" customWidth="1"/>
    <col min="12" max="12" width="8.42578125" customWidth="1"/>
    <col min="13" max="13" width="8.7109375" customWidth="1"/>
    <col min="14" max="14" width="8.42578125" customWidth="1"/>
    <col min="15" max="15" width="10.42578125" bestFit="1" customWidth="1"/>
    <col min="16" max="16" width="10.5703125" customWidth="1"/>
    <col min="17" max="17" width="10" customWidth="1"/>
    <col min="18" max="18" width="8.42578125" customWidth="1"/>
    <col min="19" max="19" width="9.28515625" customWidth="1"/>
    <col min="20" max="20" width="9.42578125" customWidth="1"/>
    <col min="21" max="24" width="10.5703125" customWidth="1"/>
    <col min="25" max="25" width="9.42578125" customWidth="1"/>
    <col min="26" max="26" width="10.5703125" customWidth="1"/>
    <col min="27" max="33" width="9.140625" customWidth="1"/>
  </cols>
  <sheetData>
    <row r="1" spans="1:26">
      <c r="C1" s="238" t="s">
        <v>430</v>
      </c>
      <c r="D1" s="413" t="str">
        <f>'bev-int'!B1</f>
        <v>melléklet a …/2024. (.  .) önkormányzati rendelethez</v>
      </c>
      <c r="E1" s="413" t="str">
        <f>'bev-int'!B1</f>
        <v>melléklet a …/2024. (.  .) önkormányzati rendelethez</v>
      </c>
      <c r="F1" s="413"/>
      <c r="G1" s="413"/>
      <c r="H1" s="413"/>
    </row>
    <row r="2" spans="1:26" hidden="1"/>
    <row r="4" spans="1:26">
      <c r="A4" s="1148" t="s">
        <v>697</v>
      </c>
      <c r="B4" s="1148"/>
      <c r="C4" s="1148"/>
      <c r="D4" s="1148"/>
      <c r="E4" s="1148"/>
      <c r="F4" s="1148"/>
      <c r="G4" s="1148"/>
      <c r="H4" s="1148"/>
      <c r="I4" s="1148"/>
      <c r="J4" s="1148"/>
      <c r="K4" s="1148"/>
      <c r="L4" s="1148"/>
      <c r="M4" s="1148"/>
      <c r="N4" s="1148"/>
      <c r="O4" s="1148"/>
      <c r="P4" s="1148"/>
      <c r="Q4" s="1148"/>
      <c r="R4" s="1148"/>
      <c r="S4" s="1148"/>
      <c r="T4" s="1148"/>
      <c r="U4" s="1148"/>
      <c r="V4" s="1148"/>
      <c r="W4" s="1148"/>
      <c r="X4" s="1148"/>
      <c r="Y4" s="1148"/>
      <c r="Z4" s="1148"/>
    </row>
    <row r="5" spans="1:26" ht="13.5" thickBo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26" ht="15.75" customHeight="1">
      <c r="A6" s="1149" t="s">
        <v>55</v>
      </c>
      <c r="B6" s="1150"/>
      <c r="C6" s="1161" t="s">
        <v>235</v>
      </c>
      <c r="D6" s="1150"/>
      <c r="E6" s="1157" t="s">
        <v>104</v>
      </c>
      <c r="F6" s="1158"/>
      <c r="G6" s="1158"/>
      <c r="H6" s="1158"/>
      <c r="I6" s="1158"/>
      <c r="J6" s="1158"/>
      <c r="K6" s="1158"/>
      <c r="L6" s="1158"/>
      <c r="M6" s="1158"/>
      <c r="N6" s="1160"/>
      <c r="O6" s="1157" t="s">
        <v>148</v>
      </c>
      <c r="P6" s="1158"/>
      <c r="Q6" s="1158"/>
      <c r="R6" s="1158"/>
      <c r="S6" s="1158"/>
      <c r="T6" s="1160"/>
      <c r="U6" s="1157" t="s">
        <v>81</v>
      </c>
      <c r="V6" s="1158"/>
      <c r="W6" s="1158"/>
      <c r="X6" s="1158"/>
      <c r="Y6" s="1158"/>
      <c r="Z6" s="1159"/>
    </row>
    <row r="7" spans="1:26" ht="13.5" customHeight="1">
      <c r="A7" s="1151"/>
      <c r="B7" s="1152"/>
      <c r="C7" s="1162"/>
      <c r="D7" s="1152"/>
      <c r="E7" s="1140" t="str">
        <f>'bev-int'!A15</f>
        <v>Működési célú támogatások ÁH belülről</v>
      </c>
      <c r="F7" s="1141"/>
      <c r="G7" s="1140" t="str">
        <f>'bev-int'!A26</f>
        <v>Közhatalmi bevételek</v>
      </c>
      <c r="H7" s="1141"/>
      <c r="I7" s="1140" t="str">
        <f>'bev-int'!A27</f>
        <v>Működési bevételek</v>
      </c>
      <c r="J7" s="1141"/>
      <c r="K7" s="1140" t="str">
        <f>'bev-int'!A29</f>
        <v>Működési célú átvett pénzeszközök</v>
      </c>
      <c r="L7" s="1141"/>
      <c r="M7" s="1140" t="s">
        <v>242</v>
      </c>
      <c r="N7" s="1141"/>
      <c r="O7" s="1140" t="str">
        <f>'bev-int'!A21</f>
        <v>Felhalmozási célú támogatások ÁH belülről</v>
      </c>
      <c r="P7" s="1141"/>
      <c r="Q7" s="1140" t="str">
        <f>'bev-int'!A28</f>
        <v>Felhalmozási bevételek</v>
      </c>
      <c r="R7" s="1141"/>
      <c r="S7" s="1140" t="str">
        <f>'bev-int'!A30</f>
        <v>Felhalmozási célú átvett pénzeszközök</v>
      </c>
      <c r="T7" s="1141"/>
      <c r="U7" s="1144" t="str">
        <f>'bev-int'!A34</f>
        <v>Maradvány igénybevétele</v>
      </c>
      <c r="V7" s="1145"/>
      <c r="W7" s="1144" t="s">
        <v>514</v>
      </c>
      <c r="X7" s="1145"/>
      <c r="Y7" s="1140" t="s">
        <v>470</v>
      </c>
      <c r="Z7" s="1155"/>
    </row>
    <row r="8" spans="1:26" ht="19.5" customHeight="1" thickBot="1">
      <c r="A8" s="1151"/>
      <c r="B8" s="1152"/>
      <c r="C8" s="1163"/>
      <c r="D8" s="1164"/>
      <c r="E8" s="1142"/>
      <c r="F8" s="1143"/>
      <c r="G8" s="1142"/>
      <c r="H8" s="1143"/>
      <c r="I8" s="1142"/>
      <c r="J8" s="1143"/>
      <c r="K8" s="1142"/>
      <c r="L8" s="1143"/>
      <c r="M8" s="1142"/>
      <c r="N8" s="1143"/>
      <c r="O8" s="1142"/>
      <c r="P8" s="1143"/>
      <c r="Q8" s="1142"/>
      <c r="R8" s="1143"/>
      <c r="S8" s="1142"/>
      <c r="T8" s="1143"/>
      <c r="U8" s="1146"/>
      <c r="V8" s="1147"/>
      <c r="W8" s="1146"/>
      <c r="X8" s="1147"/>
      <c r="Y8" s="1142"/>
      <c r="Z8" s="1156"/>
    </row>
    <row r="9" spans="1:26" ht="18.75" customHeight="1" thickBot="1">
      <c r="A9" s="1153"/>
      <c r="B9" s="1154"/>
      <c r="C9" s="265" t="s">
        <v>438</v>
      </c>
      <c r="D9" s="263" t="s">
        <v>439</v>
      </c>
      <c r="E9" s="265" t="s">
        <v>438</v>
      </c>
      <c r="F9" s="263" t="s">
        <v>439</v>
      </c>
      <c r="G9" s="265" t="s">
        <v>438</v>
      </c>
      <c r="H9" s="263" t="s">
        <v>439</v>
      </c>
      <c r="I9" s="265" t="s">
        <v>438</v>
      </c>
      <c r="J9" s="263" t="s">
        <v>439</v>
      </c>
      <c r="K9" s="265" t="s">
        <v>438</v>
      </c>
      <c r="L9" s="263" t="s">
        <v>439</v>
      </c>
      <c r="M9" s="265" t="s">
        <v>438</v>
      </c>
      <c r="N9" s="263" t="s">
        <v>439</v>
      </c>
      <c r="O9" s="265" t="s">
        <v>438</v>
      </c>
      <c r="P9" s="263" t="s">
        <v>439</v>
      </c>
      <c r="Q9" s="265" t="s">
        <v>438</v>
      </c>
      <c r="R9" s="263" t="s">
        <v>439</v>
      </c>
      <c r="S9" s="265" t="s">
        <v>438</v>
      </c>
      <c r="T9" s="263" t="s">
        <v>439</v>
      </c>
      <c r="U9" s="265" t="s">
        <v>438</v>
      </c>
      <c r="V9" s="263" t="s">
        <v>439</v>
      </c>
      <c r="W9" s="265" t="s">
        <v>438</v>
      </c>
      <c r="X9" s="263" t="s">
        <v>439</v>
      </c>
      <c r="Y9" s="265" t="s">
        <v>438</v>
      </c>
      <c r="Z9" s="264" t="s">
        <v>439</v>
      </c>
    </row>
    <row r="10" spans="1:26">
      <c r="A10" s="1132"/>
      <c r="B10" s="1133"/>
      <c r="C10" s="161"/>
      <c r="D10" s="161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162"/>
      <c r="V10" s="162"/>
      <c r="W10" s="162"/>
      <c r="X10" s="162"/>
      <c r="Y10" s="268"/>
      <c r="Z10" s="266"/>
    </row>
    <row r="11" spans="1:26" s="74" customFormat="1" ht="15" hidden="1" customHeight="1">
      <c r="A11" s="109" t="s">
        <v>248</v>
      </c>
      <c r="B11" s="108" t="s">
        <v>247</v>
      </c>
      <c r="C11" s="164">
        <f>E11+G11+I11+K11+M11+O11+Q11+S11+U11+Y11+W11</f>
        <v>0</v>
      </c>
      <c r="D11" s="164">
        <f>F11+H11+J11+L11+N11+P11+R11+T11+V11+Z11+X11</f>
        <v>0</v>
      </c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165"/>
      <c r="V11" s="165"/>
      <c r="W11" s="165"/>
      <c r="X11" s="165"/>
      <c r="Y11" s="269"/>
      <c r="Z11" s="267"/>
    </row>
    <row r="12" spans="1:26" s="74" customFormat="1" ht="15" hidden="1" customHeight="1">
      <c r="A12" s="109" t="s">
        <v>377</v>
      </c>
      <c r="B12" s="108" t="s">
        <v>521</v>
      </c>
      <c r="C12" s="164">
        <f t="shared" ref="C12:C58" si="0">E12+G12+I12+K12+M12+O12+Q12+S12+U12+Y12+W12</f>
        <v>0</v>
      </c>
      <c r="D12" s="164">
        <f t="shared" ref="D12:D58" si="1">F12+H12+J12+L12+N12+P12+R12+T12+V12+Z12+X12</f>
        <v>0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165"/>
      <c r="V12" s="165"/>
      <c r="W12" s="165"/>
      <c r="X12" s="165"/>
      <c r="Y12" s="269"/>
      <c r="Z12" s="267"/>
    </row>
    <row r="13" spans="1:26" s="74" customFormat="1" ht="15" customHeight="1">
      <c r="A13" s="109" t="s">
        <v>248</v>
      </c>
      <c r="B13" s="108" t="s">
        <v>511</v>
      </c>
      <c r="C13" s="747">
        <f t="shared" si="0"/>
        <v>8460000</v>
      </c>
      <c r="D13" s="747">
        <f t="shared" si="1"/>
        <v>8460000</v>
      </c>
      <c r="E13" s="748"/>
      <c r="F13" s="748"/>
      <c r="G13" s="748"/>
      <c r="H13" s="748"/>
      <c r="I13" s="748">
        <v>8460000</v>
      </c>
      <c r="J13" s="748">
        <v>8460000</v>
      </c>
      <c r="K13" s="748"/>
      <c r="L13" s="748"/>
      <c r="M13" s="748"/>
      <c r="N13" s="748"/>
      <c r="O13" s="748"/>
      <c r="P13" s="748"/>
      <c r="Q13" s="748"/>
      <c r="R13" s="748"/>
      <c r="S13" s="748"/>
      <c r="T13" s="748"/>
      <c r="U13" s="749"/>
      <c r="V13" s="749"/>
      <c r="W13" s="749"/>
      <c r="X13" s="749"/>
      <c r="Y13" s="750"/>
      <c r="Z13" s="751"/>
    </row>
    <row r="14" spans="1:26" s="74" customFormat="1" ht="15" customHeight="1">
      <c r="A14" s="109" t="s">
        <v>248</v>
      </c>
      <c r="B14" s="108" t="s">
        <v>513</v>
      </c>
      <c r="C14" s="747">
        <f t="shared" si="0"/>
        <v>27649384</v>
      </c>
      <c r="D14" s="747">
        <f t="shared" si="1"/>
        <v>27649384</v>
      </c>
      <c r="E14" s="748"/>
      <c r="F14" s="748"/>
      <c r="G14" s="748"/>
      <c r="H14" s="748"/>
      <c r="I14" s="748">
        <v>27649384</v>
      </c>
      <c r="J14" s="748">
        <v>27649384</v>
      </c>
      <c r="K14" s="748"/>
      <c r="L14" s="748"/>
      <c r="M14" s="748"/>
      <c r="N14" s="748"/>
      <c r="O14" s="748"/>
      <c r="P14" s="748"/>
      <c r="Q14" s="748"/>
      <c r="R14" s="748"/>
      <c r="S14" s="748"/>
      <c r="T14" s="748"/>
      <c r="U14" s="749"/>
      <c r="V14" s="749"/>
      <c r="W14" s="749"/>
      <c r="X14" s="749"/>
      <c r="Y14" s="750"/>
      <c r="Z14" s="751"/>
    </row>
    <row r="15" spans="1:26" s="74" customFormat="1" ht="15" hidden="1" customHeight="1">
      <c r="A15" s="109" t="s">
        <v>248</v>
      </c>
      <c r="B15" s="108" t="s">
        <v>563</v>
      </c>
      <c r="C15" s="747">
        <f t="shared" si="0"/>
        <v>0</v>
      </c>
      <c r="D15" s="747">
        <f t="shared" si="1"/>
        <v>0</v>
      </c>
      <c r="E15" s="748"/>
      <c r="F15" s="748"/>
      <c r="G15" s="748"/>
      <c r="H15" s="748"/>
      <c r="I15" s="748"/>
      <c r="J15" s="748"/>
      <c r="K15" s="748"/>
      <c r="L15" s="748"/>
      <c r="M15" s="748"/>
      <c r="N15" s="748"/>
      <c r="O15" s="748"/>
      <c r="P15" s="748"/>
      <c r="Q15" s="748"/>
      <c r="R15" s="748"/>
      <c r="S15" s="748"/>
      <c r="T15" s="748"/>
      <c r="U15" s="749"/>
      <c r="V15" s="749"/>
      <c r="W15" s="749"/>
      <c r="X15" s="749"/>
      <c r="Y15" s="750"/>
      <c r="Z15" s="751"/>
    </row>
    <row r="16" spans="1:26" s="74" customFormat="1" ht="15" customHeight="1">
      <c r="A16" s="109" t="s">
        <v>248</v>
      </c>
      <c r="B16" s="108" t="s">
        <v>519</v>
      </c>
      <c r="C16" s="747">
        <f t="shared" si="0"/>
        <v>1213172851</v>
      </c>
      <c r="D16" s="747">
        <f t="shared" si="1"/>
        <v>1287032012</v>
      </c>
      <c r="E16" s="748">
        <v>1213172851</v>
      </c>
      <c r="F16" s="748">
        <f>1213172851+73787859</f>
        <v>1286960710</v>
      </c>
      <c r="G16" s="748"/>
      <c r="H16" s="748"/>
      <c r="I16" s="748"/>
      <c r="J16" s="748"/>
      <c r="K16" s="748"/>
      <c r="L16" s="748"/>
      <c r="M16" s="748"/>
      <c r="N16" s="748"/>
      <c r="O16" s="748"/>
      <c r="P16" s="748"/>
      <c r="Q16" s="748"/>
      <c r="R16" s="748"/>
      <c r="S16" s="748"/>
      <c r="T16" s="748"/>
      <c r="U16" s="749"/>
      <c r="V16" s="749"/>
      <c r="W16" s="749"/>
      <c r="X16" s="749">
        <v>71302</v>
      </c>
      <c r="Y16" s="750"/>
      <c r="Z16" s="751"/>
    </row>
    <row r="17" spans="1:26" s="74" customFormat="1" ht="15" customHeight="1">
      <c r="A17" s="109" t="s">
        <v>248</v>
      </c>
      <c r="B17" s="486" t="s">
        <v>767</v>
      </c>
      <c r="C17" s="747">
        <f t="shared" si="0"/>
        <v>3050000000</v>
      </c>
      <c r="D17" s="747">
        <f t="shared" si="1"/>
        <v>3057376064</v>
      </c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9">
        <v>3050000000</v>
      </c>
      <c r="V17" s="749">
        <v>3057376064</v>
      </c>
      <c r="W17" s="749"/>
      <c r="X17" s="749"/>
      <c r="Y17" s="750"/>
      <c r="Z17" s="751"/>
    </row>
    <row r="18" spans="1:26" s="74" customFormat="1" ht="15" hidden="1" customHeight="1">
      <c r="A18" s="109" t="s">
        <v>248</v>
      </c>
      <c r="B18" s="524" t="s">
        <v>636</v>
      </c>
      <c r="C18" s="747">
        <f t="shared" si="0"/>
        <v>0</v>
      </c>
      <c r="D18" s="747">
        <f t="shared" si="1"/>
        <v>0</v>
      </c>
      <c r="E18" s="748"/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  <c r="S18" s="748"/>
      <c r="T18" s="748"/>
      <c r="U18" s="749"/>
      <c r="V18" s="749"/>
      <c r="W18" s="749"/>
      <c r="X18" s="749"/>
      <c r="Y18" s="750"/>
      <c r="Z18" s="751"/>
    </row>
    <row r="19" spans="1:26" s="74" customFormat="1" ht="15" customHeight="1">
      <c r="A19" s="415" t="s">
        <v>248</v>
      </c>
      <c r="B19" s="108" t="s">
        <v>507</v>
      </c>
      <c r="C19" s="747">
        <f t="shared" si="0"/>
        <v>2064765</v>
      </c>
      <c r="D19" s="747">
        <f t="shared" si="1"/>
        <v>7965041</v>
      </c>
      <c r="E19" s="748">
        <v>2064765</v>
      </c>
      <c r="F19" s="748">
        <f>2064765+5900276</f>
        <v>7965041</v>
      </c>
      <c r="G19" s="748"/>
      <c r="H19" s="748"/>
      <c r="I19" s="748"/>
      <c r="J19" s="748"/>
      <c r="K19" s="748"/>
      <c r="L19" s="748"/>
      <c r="M19" s="748"/>
      <c r="N19" s="748"/>
      <c r="O19" s="748"/>
      <c r="P19" s="748"/>
      <c r="Q19" s="748"/>
      <c r="R19" s="748"/>
      <c r="S19" s="748"/>
      <c r="T19" s="748"/>
      <c r="U19" s="749"/>
      <c r="V19" s="749"/>
      <c r="W19" s="749"/>
      <c r="X19" s="749"/>
      <c r="Y19" s="750"/>
      <c r="Z19" s="751"/>
    </row>
    <row r="20" spans="1:26" s="74" customFormat="1" ht="15" customHeight="1">
      <c r="A20" s="109" t="s">
        <v>248</v>
      </c>
      <c r="B20" s="108" t="s">
        <v>508</v>
      </c>
      <c r="C20" s="747">
        <f t="shared" si="0"/>
        <v>0</v>
      </c>
      <c r="D20" s="747">
        <f t="shared" si="1"/>
        <v>609000</v>
      </c>
      <c r="E20" s="748"/>
      <c r="F20" s="748">
        <v>609000</v>
      </c>
      <c r="G20" s="748"/>
      <c r="H20" s="748"/>
      <c r="I20" s="748"/>
      <c r="J20" s="748"/>
      <c r="K20" s="748"/>
      <c r="L20" s="748"/>
      <c r="M20" s="748"/>
      <c r="N20" s="748"/>
      <c r="O20" s="748"/>
      <c r="P20" s="748"/>
      <c r="Q20" s="748"/>
      <c r="R20" s="748"/>
      <c r="S20" s="748"/>
      <c r="T20" s="748"/>
      <c r="U20" s="749"/>
      <c r="V20" s="749"/>
      <c r="W20" s="749"/>
      <c r="X20" s="749"/>
      <c r="Y20" s="750"/>
      <c r="Z20" s="751"/>
    </row>
    <row r="21" spans="1:26" s="74" customFormat="1" ht="15" customHeight="1">
      <c r="A21" s="109" t="s">
        <v>248</v>
      </c>
      <c r="B21" s="108" t="s">
        <v>637</v>
      </c>
      <c r="C21" s="747">
        <f t="shared" si="0"/>
        <v>0</v>
      </c>
      <c r="D21" s="747">
        <f t="shared" si="1"/>
        <v>0</v>
      </c>
      <c r="E21" s="748"/>
      <c r="F21" s="748"/>
      <c r="G21" s="748"/>
      <c r="H21" s="748"/>
      <c r="I21" s="748"/>
      <c r="J21" s="748"/>
      <c r="K21" s="748"/>
      <c r="L21" s="748"/>
      <c r="M21" s="748"/>
      <c r="N21" s="748"/>
      <c r="O21" s="748"/>
      <c r="P21" s="748"/>
      <c r="Q21" s="748"/>
      <c r="R21" s="748"/>
      <c r="S21" s="748"/>
      <c r="T21" s="748"/>
      <c r="U21" s="749"/>
      <c r="V21" s="749"/>
      <c r="W21" s="749"/>
      <c r="X21" s="749"/>
      <c r="Y21" s="750"/>
      <c r="Z21" s="751"/>
    </row>
    <row r="22" spans="1:26" s="74" customFormat="1" ht="15" customHeight="1">
      <c r="A22" s="109" t="s">
        <v>248</v>
      </c>
      <c r="B22" s="108" t="s">
        <v>255</v>
      </c>
      <c r="C22" s="747">
        <f t="shared" si="0"/>
        <v>37894571</v>
      </c>
      <c r="D22" s="747">
        <f t="shared" si="1"/>
        <v>37894571</v>
      </c>
      <c r="E22" s="748"/>
      <c r="F22" s="748"/>
      <c r="G22" s="748"/>
      <c r="H22" s="748"/>
      <c r="I22" s="748">
        <v>37894571</v>
      </c>
      <c r="J22" s="748">
        <v>37894571</v>
      </c>
      <c r="K22" s="748"/>
      <c r="L22" s="748"/>
      <c r="M22" s="748"/>
      <c r="N22" s="748"/>
      <c r="O22" s="748"/>
      <c r="P22" s="748"/>
      <c r="Q22" s="748"/>
      <c r="R22" s="748"/>
      <c r="S22" s="748"/>
      <c r="T22" s="748"/>
      <c r="U22" s="749"/>
      <c r="V22" s="749"/>
      <c r="W22" s="749"/>
      <c r="X22" s="749"/>
      <c r="Y22" s="750"/>
      <c r="Z22" s="751"/>
    </row>
    <row r="23" spans="1:26" s="74" customFormat="1" ht="15" hidden="1" customHeight="1">
      <c r="A23" s="109" t="s">
        <v>248</v>
      </c>
      <c r="B23" s="108"/>
      <c r="C23" s="747">
        <f t="shared" si="0"/>
        <v>0</v>
      </c>
      <c r="D23" s="747">
        <f t="shared" si="1"/>
        <v>0</v>
      </c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8"/>
      <c r="P23" s="748"/>
      <c r="Q23" s="748"/>
      <c r="R23" s="748"/>
      <c r="S23" s="748"/>
      <c r="T23" s="748"/>
      <c r="U23" s="749"/>
      <c r="V23" s="749"/>
      <c r="W23" s="749"/>
      <c r="X23" s="749"/>
      <c r="Y23" s="750"/>
      <c r="Z23" s="751"/>
    </row>
    <row r="24" spans="1:26" s="74" customFormat="1" ht="15" hidden="1" customHeight="1">
      <c r="A24" s="109" t="s">
        <v>248</v>
      </c>
      <c r="B24" s="108"/>
      <c r="C24" s="747">
        <v>0</v>
      </c>
      <c r="D24" s="747">
        <f t="shared" si="1"/>
        <v>0</v>
      </c>
      <c r="E24" s="748"/>
      <c r="F24" s="748"/>
      <c r="G24" s="748"/>
      <c r="H24" s="748"/>
      <c r="I24" s="748"/>
      <c r="J24" s="748"/>
      <c r="K24" s="748"/>
      <c r="L24" s="748"/>
      <c r="M24" s="748"/>
      <c r="N24" s="748"/>
      <c r="O24" s="748"/>
      <c r="P24" s="748"/>
      <c r="Q24" s="748"/>
      <c r="R24" s="748"/>
      <c r="S24" s="748"/>
      <c r="T24" s="748"/>
      <c r="U24" s="749"/>
      <c r="V24" s="749"/>
      <c r="W24" s="749"/>
      <c r="X24" s="749"/>
      <c r="Y24" s="750"/>
      <c r="Z24" s="751"/>
    </row>
    <row r="25" spans="1:26" s="74" customFormat="1" ht="15" hidden="1" customHeight="1">
      <c r="A25" s="419" t="s">
        <v>248</v>
      </c>
      <c r="B25" s="420" t="s">
        <v>9</v>
      </c>
      <c r="C25" s="747">
        <v>0</v>
      </c>
      <c r="D25" s="747">
        <f>F25+H25+J25+L25+N25+P25+R25+T25+V25+Z25+X25</f>
        <v>0</v>
      </c>
      <c r="E25" s="748"/>
      <c r="F25" s="748"/>
      <c r="G25" s="748"/>
      <c r="H25" s="748"/>
      <c r="I25" s="748"/>
      <c r="J25" s="748"/>
      <c r="K25" s="748"/>
      <c r="L25" s="748"/>
      <c r="M25" s="748"/>
      <c r="N25" s="748"/>
      <c r="O25" s="748"/>
      <c r="P25" s="748"/>
      <c r="Q25" s="748"/>
      <c r="R25" s="748"/>
      <c r="S25" s="748"/>
      <c r="T25" s="748"/>
      <c r="U25" s="749"/>
      <c r="V25" s="749"/>
      <c r="W25" s="749"/>
      <c r="X25" s="749"/>
      <c r="Y25" s="750"/>
      <c r="Z25" s="751"/>
    </row>
    <row r="26" spans="1:26" s="74" customFormat="1" ht="15" customHeight="1">
      <c r="A26" s="109" t="s">
        <v>248</v>
      </c>
      <c r="B26" s="108" t="s">
        <v>277</v>
      </c>
      <c r="C26" s="747">
        <f t="shared" si="0"/>
        <v>152400</v>
      </c>
      <c r="D26" s="747">
        <f t="shared" si="1"/>
        <v>152400</v>
      </c>
      <c r="E26" s="748"/>
      <c r="F26" s="748"/>
      <c r="G26" s="748"/>
      <c r="H26" s="748"/>
      <c r="I26" s="748">
        <v>152400</v>
      </c>
      <c r="J26" s="748">
        <v>152400</v>
      </c>
      <c r="K26" s="748"/>
      <c r="L26" s="748"/>
      <c r="M26" s="748"/>
      <c r="N26" s="748"/>
      <c r="O26" s="748"/>
      <c r="P26" s="748"/>
      <c r="Q26" s="748"/>
      <c r="R26" s="748"/>
      <c r="S26" s="748"/>
      <c r="T26" s="748"/>
      <c r="U26" s="749"/>
      <c r="V26" s="749"/>
      <c r="W26" s="749"/>
      <c r="X26" s="749"/>
      <c r="Y26" s="750"/>
      <c r="Z26" s="751"/>
    </row>
    <row r="27" spans="1:26" s="74" customFormat="1" ht="15" customHeight="1">
      <c r="A27" s="109" t="s">
        <v>248</v>
      </c>
      <c r="B27" s="108" t="s">
        <v>278</v>
      </c>
      <c r="C27" s="747">
        <f t="shared" si="0"/>
        <v>4041786</v>
      </c>
      <c r="D27" s="747">
        <f t="shared" si="1"/>
        <v>4041786</v>
      </c>
      <c r="E27" s="748"/>
      <c r="F27" s="748"/>
      <c r="G27" s="748"/>
      <c r="H27" s="748"/>
      <c r="I27" s="748">
        <v>4041786</v>
      </c>
      <c r="J27" s="748">
        <v>4041786</v>
      </c>
      <c r="K27" s="748"/>
      <c r="L27" s="748"/>
      <c r="M27" s="748"/>
      <c r="N27" s="748"/>
      <c r="O27" s="748"/>
      <c r="P27" s="748"/>
      <c r="Q27" s="748"/>
      <c r="R27" s="748"/>
      <c r="S27" s="748"/>
      <c r="T27" s="748"/>
      <c r="U27" s="749"/>
      <c r="V27" s="749"/>
      <c r="W27" s="749"/>
      <c r="X27" s="749"/>
      <c r="Y27" s="750"/>
      <c r="Z27" s="751"/>
    </row>
    <row r="28" spans="1:26" s="74" customFormat="1" ht="15" hidden="1" customHeight="1">
      <c r="A28" s="109" t="s">
        <v>248</v>
      </c>
      <c r="B28" s="108" t="s">
        <v>284</v>
      </c>
      <c r="C28" s="747">
        <f t="shared" si="0"/>
        <v>0</v>
      </c>
      <c r="D28" s="747">
        <f t="shared" si="1"/>
        <v>0</v>
      </c>
      <c r="E28" s="748"/>
      <c r="F28" s="748"/>
      <c r="G28" s="748"/>
      <c r="H28" s="748"/>
      <c r="I28" s="748"/>
      <c r="J28" s="748"/>
      <c r="K28" s="748"/>
      <c r="L28" s="748"/>
      <c r="M28" s="748"/>
      <c r="N28" s="748"/>
      <c r="O28" s="748"/>
      <c r="P28" s="748"/>
      <c r="Q28" s="748"/>
      <c r="R28" s="748"/>
      <c r="S28" s="748"/>
      <c r="T28" s="748"/>
      <c r="U28" s="749"/>
      <c r="V28" s="749"/>
      <c r="W28" s="749"/>
      <c r="X28" s="749"/>
      <c r="Y28" s="750"/>
      <c r="Z28" s="751"/>
    </row>
    <row r="29" spans="1:26" s="74" customFormat="1" ht="15" customHeight="1">
      <c r="A29" s="109" t="s">
        <v>248</v>
      </c>
      <c r="B29" s="108" t="s">
        <v>494</v>
      </c>
      <c r="C29" s="747">
        <f t="shared" si="0"/>
        <v>1641973</v>
      </c>
      <c r="D29" s="747">
        <f t="shared" si="1"/>
        <v>1641973</v>
      </c>
      <c r="E29" s="748"/>
      <c r="F29" s="748"/>
      <c r="G29" s="748"/>
      <c r="H29" s="748"/>
      <c r="I29" s="748">
        <v>1641973</v>
      </c>
      <c r="J29" s="748">
        <v>1641973</v>
      </c>
      <c r="K29" s="748"/>
      <c r="L29" s="748"/>
      <c r="M29" s="748"/>
      <c r="N29" s="748"/>
      <c r="O29" s="748"/>
      <c r="P29" s="748"/>
      <c r="Q29" s="748"/>
      <c r="R29" s="748"/>
      <c r="S29" s="748"/>
      <c r="T29" s="748"/>
      <c r="U29" s="749"/>
      <c r="V29" s="749"/>
      <c r="W29" s="749"/>
      <c r="X29" s="749"/>
      <c r="Y29" s="750"/>
      <c r="Z29" s="751"/>
    </row>
    <row r="30" spans="1:26" s="74" customFormat="1" ht="15" customHeight="1">
      <c r="A30" s="109" t="s">
        <v>248</v>
      </c>
      <c r="B30" s="108" t="s">
        <v>766</v>
      </c>
      <c r="C30" s="747">
        <f t="shared" si="0"/>
        <v>2020411</v>
      </c>
      <c r="D30" s="747">
        <f t="shared" si="1"/>
        <v>2020411</v>
      </c>
      <c r="E30" s="748"/>
      <c r="F30" s="748"/>
      <c r="G30" s="748"/>
      <c r="H30" s="748"/>
      <c r="I30" s="748">
        <v>2020411</v>
      </c>
      <c r="J30" s="748">
        <v>2020411</v>
      </c>
      <c r="K30" s="748"/>
      <c r="L30" s="748"/>
      <c r="M30" s="748"/>
      <c r="N30" s="748"/>
      <c r="O30" s="748"/>
      <c r="P30" s="748"/>
      <c r="Q30" s="748"/>
      <c r="R30" s="748"/>
      <c r="S30" s="748"/>
      <c r="T30" s="748"/>
      <c r="U30" s="749"/>
      <c r="V30" s="749"/>
      <c r="W30" s="749"/>
      <c r="X30" s="749"/>
      <c r="Y30" s="750"/>
      <c r="Z30" s="751"/>
    </row>
    <row r="31" spans="1:26" s="74" customFormat="1" ht="15" customHeight="1">
      <c r="A31" s="109" t="s">
        <v>248</v>
      </c>
      <c r="B31" s="108" t="s">
        <v>286</v>
      </c>
      <c r="C31" s="747">
        <f t="shared" si="0"/>
        <v>481200</v>
      </c>
      <c r="D31" s="747">
        <f t="shared" si="1"/>
        <v>481200</v>
      </c>
      <c r="E31" s="748">
        <v>481200</v>
      </c>
      <c r="F31" s="748">
        <v>481200</v>
      </c>
      <c r="G31" s="748"/>
      <c r="H31" s="748"/>
      <c r="I31" s="748"/>
      <c r="J31" s="748"/>
      <c r="K31" s="748"/>
      <c r="L31" s="748"/>
      <c r="M31" s="748"/>
      <c r="N31" s="748"/>
      <c r="O31" s="748"/>
      <c r="P31" s="748"/>
      <c r="Q31" s="748"/>
      <c r="R31" s="748"/>
      <c r="S31" s="748"/>
      <c r="T31" s="748"/>
      <c r="U31" s="749"/>
      <c r="V31" s="749"/>
      <c r="W31" s="749"/>
      <c r="X31" s="749"/>
      <c r="Y31" s="750"/>
      <c r="Z31" s="751"/>
    </row>
    <row r="32" spans="1:26" s="74" customFormat="1" ht="15" customHeight="1">
      <c r="A32" s="415" t="s">
        <v>248</v>
      </c>
      <c r="B32" s="108" t="s">
        <v>510</v>
      </c>
      <c r="C32" s="747">
        <f t="shared" si="0"/>
        <v>5308600</v>
      </c>
      <c r="D32" s="747">
        <f t="shared" si="1"/>
        <v>5308600</v>
      </c>
      <c r="E32" s="748"/>
      <c r="F32" s="748"/>
      <c r="G32" s="748"/>
      <c r="H32" s="748"/>
      <c r="I32" s="748">
        <v>5308600</v>
      </c>
      <c r="J32" s="748">
        <v>5308600</v>
      </c>
      <c r="K32" s="748"/>
      <c r="L32" s="748"/>
      <c r="M32" s="748"/>
      <c r="N32" s="748"/>
      <c r="O32" s="748"/>
      <c r="P32" s="748"/>
      <c r="Q32" s="748"/>
      <c r="R32" s="748"/>
      <c r="S32" s="748"/>
      <c r="T32" s="748"/>
      <c r="U32" s="749"/>
      <c r="V32" s="749"/>
      <c r="W32" s="749"/>
      <c r="X32" s="749"/>
      <c r="Y32" s="750"/>
      <c r="Z32" s="751"/>
    </row>
    <row r="33" spans="1:26" s="74" customFormat="1" ht="15" hidden="1" customHeight="1">
      <c r="A33" s="109" t="s">
        <v>248</v>
      </c>
      <c r="B33" s="108" t="s">
        <v>505</v>
      </c>
      <c r="C33" s="747">
        <f t="shared" si="0"/>
        <v>0</v>
      </c>
      <c r="D33" s="747">
        <f t="shared" si="1"/>
        <v>0</v>
      </c>
      <c r="E33" s="748"/>
      <c r="F33" s="748"/>
      <c r="G33" s="748"/>
      <c r="H33" s="748"/>
      <c r="I33" s="748"/>
      <c r="J33" s="748"/>
      <c r="K33" s="748"/>
      <c r="L33" s="748"/>
      <c r="M33" s="748"/>
      <c r="N33" s="748"/>
      <c r="O33" s="748"/>
      <c r="P33" s="748"/>
      <c r="Q33" s="748"/>
      <c r="R33" s="748"/>
      <c r="S33" s="748"/>
      <c r="T33" s="748"/>
      <c r="U33" s="749"/>
      <c r="V33" s="749"/>
      <c r="W33" s="749"/>
      <c r="X33" s="749"/>
      <c r="Y33" s="750"/>
      <c r="Z33" s="751"/>
    </row>
    <row r="34" spans="1:26" s="74" customFormat="1" ht="15" customHeight="1">
      <c r="A34" s="109" t="s">
        <v>248</v>
      </c>
      <c r="B34" s="108" t="s">
        <v>506</v>
      </c>
      <c r="C34" s="747">
        <f t="shared" si="0"/>
        <v>3548000</v>
      </c>
      <c r="D34" s="747">
        <f t="shared" si="1"/>
        <v>3548000</v>
      </c>
      <c r="E34" s="748"/>
      <c r="F34" s="748"/>
      <c r="G34" s="748"/>
      <c r="H34" s="748"/>
      <c r="I34" s="748">
        <v>3548000</v>
      </c>
      <c r="J34" s="748">
        <v>3548000</v>
      </c>
      <c r="K34" s="748"/>
      <c r="L34" s="748"/>
      <c r="M34" s="748"/>
      <c r="N34" s="748"/>
      <c r="O34" s="748"/>
      <c r="P34" s="748"/>
      <c r="Q34" s="748"/>
      <c r="R34" s="748"/>
      <c r="S34" s="748"/>
      <c r="T34" s="748"/>
      <c r="U34" s="749"/>
      <c r="V34" s="749"/>
      <c r="W34" s="749"/>
      <c r="X34" s="749"/>
      <c r="Y34" s="750"/>
      <c r="Z34" s="751"/>
    </row>
    <row r="35" spans="1:26" s="74" customFormat="1" ht="15" hidden="1" customHeight="1">
      <c r="A35" s="109" t="s">
        <v>377</v>
      </c>
      <c r="B35" s="108" t="s">
        <v>509</v>
      </c>
      <c r="C35" s="747">
        <f t="shared" si="0"/>
        <v>0</v>
      </c>
      <c r="D35" s="747">
        <f t="shared" si="1"/>
        <v>0</v>
      </c>
      <c r="E35" s="748"/>
      <c r="F35" s="748"/>
      <c r="G35" s="748"/>
      <c r="H35" s="748"/>
      <c r="I35" s="748"/>
      <c r="J35" s="748"/>
      <c r="K35" s="748"/>
      <c r="L35" s="748"/>
      <c r="M35" s="748"/>
      <c r="N35" s="748"/>
      <c r="O35" s="748"/>
      <c r="P35" s="748"/>
      <c r="Q35" s="748"/>
      <c r="R35" s="748"/>
      <c r="S35" s="748"/>
      <c r="T35" s="748"/>
      <c r="U35" s="749"/>
      <c r="V35" s="749"/>
      <c r="W35" s="749"/>
      <c r="X35" s="749"/>
      <c r="Y35" s="750"/>
      <c r="Z35" s="751"/>
    </row>
    <row r="36" spans="1:26" s="74" customFormat="1" ht="15" customHeight="1">
      <c r="A36" s="415" t="s">
        <v>248</v>
      </c>
      <c r="B36" s="108" t="s">
        <v>620</v>
      </c>
      <c r="C36" s="747">
        <f t="shared" si="0"/>
        <v>26993044</v>
      </c>
      <c r="D36" s="747">
        <f t="shared" si="1"/>
        <v>26993044</v>
      </c>
      <c r="E36" s="748">
        <v>26993044</v>
      </c>
      <c r="F36" s="748">
        <v>26993044</v>
      </c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9"/>
      <c r="V36" s="749"/>
      <c r="W36" s="749"/>
      <c r="X36" s="749"/>
      <c r="Y36" s="750"/>
      <c r="Z36" s="751"/>
    </row>
    <row r="37" spans="1:26" s="74" customFormat="1" ht="15" hidden="1" customHeight="1">
      <c r="A37" s="415" t="s">
        <v>248</v>
      </c>
      <c r="B37" s="108"/>
      <c r="C37" s="747">
        <f t="shared" si="0"/>
        <v>0</v>
      </c>
      <c r="D37" s="747">
        <f t="shared" si="1"/>
        <v>0</v>
      </c>
      <c r="E37" s="748"/>
      <c r="F37" s="748"/>
      <c r="G37" s="748"/>
      <c r="H37" s="748"/>
      <c r="I37" s="748"/>
      <c r="J37" s="748"/>
      <c r="K37" s="748"/>
      <c r="L37" s="748"/>
      <c r="M37" s="748"/>
      <c r="N37" s="748"/>
      <c r="O37" s="748"/>
      <c r="P37" s="748"/>
      <c r="Q37" s="748"/>
      <c r="R37" s="748"/>
      <c r="S37" s="748"/>
      <c r="T37" s="748"/>
      <c r="U37" s="749"/>
      <c r="V37" s="749"/>
      <c r="W37" s="749"/>
      <c r="X37" s="749"/>
      <c r="Y37" s="750"/>
      <c r="Z37" s="751"/>
    </row>
    <row r="38" spans="1:26" s="74" customFormat="1" ht="15" hidden="1" customHeight="1">
      <c r="A38" s="415" t="s">
        <v>248</v>
      </c>
      <c r="B38" s="417"/>
      <c r="C38" s="851">
        <f t="shared" si="0"/>
        <v>0</v>
      </c>
      <c r="D38" s="747">
        <f t="shared" si="1"/>
        <v>0</v>
      </c>
      <c r="E38" s="748"/>
      <c r="F38" s="748"/>
      <c r="G38" s="748"/>
      <c r="H38" s="748"/>
      <c r="I38" s="748"/>
      <c r="J38" s="748"/>
      <c r="K38" s="748"/>
      <c r="L38" s="748"/>
      <c r="M38" s="748"/>
      <c r="N38" s="748"/>
      <c r="O38" s="748"/>
      <c r="P38" s="748"/>
      <c r="Q38" s="748"/>
      <c r="R38" s="748"/>
      <c r="S38" s="748"/>
      <c r="T38" s="748"/>
      <c r="U38" s="749"/>
      <c r="V38" s="749"/>
      <c r="W38" s="749"/>
      <c r="X38" s="749"/>
      <c r="Y38" s="750"/>
      <c r="Z38" s="751"/>
    </row>
    <row r="39" spans="1:26" s="74" customFormat="1" ht="15" hidden="1" customHeight="1">
      <c r="A39" s="415" t="s">
        <v>248</v>
      </c>
      <c r="B39" s="417"/>
      <c r="C39" s="851">
        <f t="shared" si="0"/>
        <v>0</v>
      </c>
      <c r="D39" s="747">
        <f t="shared" si="1"/>
        <v>0</v>
      </c>
      <c r="E39" s="748"/>
      <c r="F39" s="748"/>
      <c r="G39" s="748"/>
      <c r="H39" s="748"/>
      <c r="I39" s="748"/>
      <c r="J39" s="748"/>
      <c r="K39" s="748"/>
      <c r="L39" s="748"/>
      <c r="M39" s="748"/>
      <c r="N39" s="748"/>
      <c r="O39" s="748"/>
      <c r="P39" s="748"/>
      <c r="Q39" s="748"/>
      <c r="R39" s="748"/>
      <c r="S39" s="748"/>
      <c r="T39" s="748"/>
      <c r="U39" s="749"/>
      <c r="V39" s="749"/>
      <c r="W39" s="749"/>
      <c r="X39" s="749"/>
      <c r="Y39" s="750"/>
      <c r="Z39" s="751"/>
    </row>
    <row r="40" spans="1:26" s="74" customFormat="1" ht="15" hidden="1" customHeight="1">
      <c r="A40" s="415" t="s">
        <v>248</v>
      </c>
      <c r="B40" s="417"/>
      <c r="C40" s="851">
        <f t="shared" si="0"/>
        <v>0</v>
      </c>
      <c r="D40" s="747">
        <f t="shared" si="1"/>
        <v>0</v>
      </c>
      <c r="E40" s="748"/>
      <c r="F40" s="748"/>
      <c r="G40" s="748"/>
      <c r="H40" s="748"/>
      <c r="I40" s="748"/>
      <c r="J40" s="748"/>
      <c r="K40" s="748"/>
      <c r="L40" s="748"/>
      <c r="M40" s="748"/>
      <c r="N40" s="748"/>
      <c r="O40" s="748"/>
      <c r="P40" s="748"/>
      <c r="Q40" s="748"/>
      <c r="R40" s="748"/>
      <c r="S40" s="748"/>
      <c r="T40" s="748"/>
      <c r="U40" s="749"/>
      <c r="V40" s="749"/>
      <c r="W40" s="749"/>
      <c r="X40" s="749"/>
      <c r="Y40" s="750"/>
      <c r="Z40" s="751"/>
    </row>
    <row r="41" spans="1:26" s="74" customFormat="1" ht="15" hidden="1" customHeight="1">
      <c r="A41" s="415" t="s">
        <v>248</v>
      </c>
      <c r="B41" s="417"/>
      <c r="C41" s="851">
        <f t="shared" si="0"/>
        <v>0</v>
      </c>
      <c r="D41" s="747">
        <f t="shared" si="1"/>
        <v>0</v>
      </c>
      <c r="E41" s="748"/>
      <c r="F41" s="748"/>
      <c r="G41" s="748"/>
      <c r="H41" s="748"/>
      <c r="I41" s="748"/>
      <c r="J41" s="748"/>
      <c r="K41" s="748"/>
      <c r="L41" s="748"/>
      <c r="M41" s="748"/>
      <c r="N41" s="748"/>
      <c r="O41" s="748"/>
      <c r="P41" s="748"/>
      <c r="Q41" s="748"/>
      <c r="R41" s="748"/>
      <c r="S41" s="748"/>
      <c r="T41" s="748"/>
      <c r="U41" s="749"/>
      <c r="V41" s="749"/>
      <c r="W41" s="749"/>
      <c r="X41" s="749"/>
      <c r="Y41" s="750"/>
      <c r="Z41" s="751"/>
    </row>
    <row r="42" spans="1:26" s="74" customFormat="1" ht="15" hidden="1" customHeight="1">
      <c r="A42" s="415" t="s">
        <v>248</v>
      </c>
      <c r="B42" s="417"/>
      <c r="C42" s="851">
        <f t="shared" si="0"/>
        <v>0</v>
      </c>
      <c r="D42" s="747">
        <f t="shared" si="1"/>
        <v>0</v>
      </c>
      <c r="E42" s="748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9"/>
      <c r="V42" s="749"/>
      <c r="W42" s="749"/>
      <c r="X42" s="749"/>
      <c r="Y42" s="750"/>
      <c r="Z42" s="751"/>
    </row>
    <row r="43" spans="1:26" s="74" customFormat="1" ht="15" customHeight="1">
      <c r="A43" s="415" t="s">
        <v>248</v>
      </c>
      <c r="B43" s="487" t="s">
        <v>269</v>
      </c>
      <c r="C43" s="747">
        <f t="shared" si="0"/>
        <v>41712433</v>
      </c>
      <c r="D43" s="747">
        <f t="shared" si="1"/>
        <v>41712433</v>
      </c>
      <c r="E43" s="748"/>
      <c r="F43" s="748"/>
      <c r="G43" s="748">
        <v>4847020</v>
      </c>
      <c r="H43" s="748">
        <v>4847020</v>
      </c>
      <c r="I43" s="748">
        <v>36865413</v>
      </c>
      <c r="J43" s="748">
        <v>36865413</v>
      </c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9"/>
      <c r="V43" s="749"/>
      <c r="W43" s="749"/>
      <c r="X43" s="749"/>
      <c r="Y43" s="750"/>
      <c r="Z43" s="751"/>
    </row>
    <row r="44" spans="1:26" s="74" customFormat="1" ht="15" hidden="1" customHeight="1">
      <c r="A44" s="415" t="s">
        <v>248</v>
      </c>
      <c r="B44" s="108"/>
      <c r="C44" s="747">
        <f t="shared" si="0"/>
        <v>0</v>
      </c>
      <c r="D44" s="747">
        <f t="shared" si="1"/>
        <v>0</v>
      </c>
      <c r="E44" s="748"/>
      <c r="F44" s="748"/>
      <c r="G44" s="748"/>
      <c r="H44" s="748"/>
      <c r="I44" s="748"/>
      <c r="J44" s="748"/>
      <c r="K44" s="748"/>
      <c r="L44" s="748"/>
      <c r="M44" s="748"/>
      <c r="N44" s="748"/>
      <c r="O44" s="748"/>
      <c r="P44" s="748"/>
      <c r="Q44" s="748"/>
      <c r="R44" s="748"/>
      <c r="S44" s="748"/>
      <c r="T44" s="748"/>
      <c r="U44" s="749"/>
      <c r="V44" s="749"/>
      <c r="W44" s="749"/>
      <c r="X44" s="749"/>
      <c r="Y44" s="750"/>
      <c r="Z44" s="751"/>
    </row>
    <row r="45" spans="1:26" s="74" customFormat="1" ht="15" customHeight="1">
      <c r="A45" s="415" t="s">
        <v>248</v>
      </c>
      <c r="B45" s="108" t="s">
        <v>512</v>
      </c>
      <c r="C45" s="747">
        <f t="shared" si="0"/>
        <v>395500000</v>
      </c>
      <c r="D45" s="747">
        <f t="shared" si="1"/>
        <v>395500000</v>
      </c>
      <c r="E45" s="748"/>
      <c r="F45" s="748"/>
      <c r="G45" s="748">
        <v>395500000</v>
      </c>
      <c r="H45" s="748">
        <v>395500000</v>
      </c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9"/>
      <c r="V45" s="749"/>
      <c r="W45" s="749"/>
      <c r="X45" s="749"/>
      <c r="Y45" s="750"/>
      <c r="Z45" s="751"/>
    </row>
    <row r="46" spans="1:26" s="74" customFormat="1" ht="15" customHeight="1">
      <c r="A46" s="415" t="s">
        <v>248</v>
      </c>
      <c r="B46" s="108" t="s">
        <v>274</v>
      </c>
      <c r="C46" s="747">
        <f t="shared" si="0"/>
        <v>3000000</v>
      </c>
      <c r="D46" s="747">
        <f t="shared" si="1"/>
        <v>3000000</v>
      </c>
      <c r="E46" s="748">
        <v>3000000</v>
      </c>
      <c r="F46" s="748">
        <v>3000000</v>
      </c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8"/>
      <c r="T46" s="748"/>
      <c r="U46" s="749"/>
      <c r="V46" s="749"/>
      <c r="W46" s="749"/>
      <c r="X46" s="749"/>
      <c r="Y46" s="750"/>
      <c r="Z46" s="751"/>
    </row>
    <row r="47" spans="1:26" s="74" customFormat="1" ht="15" customHeight="1">
      <c r="A47" s="109" t="s">
        <v>248</v>
      </c>
      <c r="B47" s="108" t="s">
        <v>128</v>
      </c>
      <c r="C47" s="747">
        <f t="shared" si="0"/>
        <v>15645765</v>
      </c>
      <c r="D47" s="747">
        <f t="shared" si="1"/>
        <v>15645765</v>
      </c>
      <c r="E47" s="748"/>
      <c r="F47" s="748"/>
      <c r="G47" s="748"/>
      <c r="H47" s="748"/>
      <c r="I47" s="748">
        <v>15645765</v>
      </c>
      <c r="J47" s="748">
        <v>15645765</v>
      </c>
      <c r="K47" s="748"/>
      <c r="L47" s="748"/>
      <c r="M47" s="748"/>
      <c r="N47" s="748"/>
      <c r="O47" s="748"/>
      <c r="P47" s="748"/>
      <c r="Q47" s="748"/>
      <c r="R47" s="748"/>
      <c r="S47" s="748"/>
      <c r="T47" s="748"/>
      <c r="U47" s="749"/>
      <c r="V47" s="749"/>
      <c r="W47" s="749"/>
      <c r="X47" s="749"/>
      <c r="Y47" s="750"/>
      <c r="Z47" s="750"/>
    </row>
    <row r="48" spans="1:26" s="74" customFormat="1" ht="15" hidden="1" customHeight="1">
      <c r="A48" s="109" t="s">
        <v>248</v>
      </c>
      <c r="B48" s="108" t="s">
        <v>466</v>
      </c>
      <c r="C48" s="747">
        <f t="shared" si="0"/>
        <v>0</v>
      </c>
      <c r="D48" s="747">
        <f t="shared" si="1"/>
        <v>0</v>
      </c>
      <c r="E48" s="748"/>
      <c r="F48" s="748"/>
      <c r="G48" s="748"/>
      <c r="H48" s="748"/>
      <c r="I48" s="748"/>
      <c r="J48" s="748"/>
      <c r="K48" s="748"/>
      <c r="L48" s="748"/>
      <c r="M48" s="748"/>
      <c r="N48" s="748"/>
      <c r="O48" s="748"/>
      <c r="P48" s="748"/>
      <c r="Q48" s="748"/>
      <c r="R48" s="748"/>
      <c r="S48" s="748"/>
      <c r="T48" s="748"/>
      <c r="U48" s="749"/>
      <c r="V48" s="749"/>
      <c r="W48" s="749"/>
      <c r="X48" s="749"/>
      <c r="Y48" s="750"/>
      <c r="Z48" s="751"/>
    </row>
    <row r="49" spans="1:26" s="74" customFormat="1" ht="17.25" hidden="1" customHeight="1">
      <c r="A49" s="109" t="s">
        <v>248</v>
      </c>
      <c r="B49" s="108"/>
      <c r="C49" s="747">
        <f t="shared" si="0"/>
        <v>0</v>
      </c>
      <c r="D49" s="747">
        <f t="shared" si="1"/>
        <v>0</v>
      </c>
      <c r="E49" s="748"/>
      <c r="F49" s="748"/>
      <c r="G49" s="748"/>
      <c r="H49" s="748"/>
      <c r="I49" s="748"/>
      <c r="J49" s="748"/>
      <c r="K49" s="748"/>
      <c r="L49" s="748"/>
      <c r="M49" s="748"/>
      <c r="N49" s="748"/>
      <c r="O49" s="748"/>
      <c r="P49" s="748"/>
      <c r="Q49" s="748"/>
      <c r="R49" s="748"/>
      <c r="S49" s="748"/>
      <c r="T49" s="748"/>
      <c r="U49" s="749"/>
      <c r="V49" s="749"/>
      <c r="W49" s="749"/>
      <c r="X49" s="749"/>
      <c r="Y49" s="750"/>
      <c r="Z49" s="751"/>
    </row>
    <row r="50" spans="1:26" s="74" customFormat="1" ht="16.5" customHeight="1">
      <c r="A50" s="109" t="s">
        <v>248</v>
      </c>
      <c r="B50" s="108" t="s">
        <v>659</v>
      </c>
      <c r="C50" s="747">
        <f t="shared" si="0"/>
        <v>62748754</v>
      </c>
      <c r="D50" s="747">
        <f t="shared" si="1"/>
        <v>62748754</v>
      </c>
      <c r="E50" s="748"/>
      <c r="F50" s="748"/>
      <c r="G50" s="748"/>
      <c r="H50" s="748"/>
      <c r="I50" s="748">
        <v>52798754</v>
      </c>
      <c r="J50" s="748">
        <v>52798754</v>
      </c>
      <c r="K50" s="748"/>
      <c r="L50" s="748"/>
      <c r="M50" s="748"/>
      <c r="N50" s="748"/>
      <c r="O50" s="748">
        <v>9950000</v>
      </c>
      <c r="P50" s="748">
        <v>9950000</v>
      </c>
      <c r="Q50" s="748"/>
      <c r="R50" s="748"/>
      <c r="S50" s="748"/>
      <c r="T50" s="748"/>
      <c r="U50" s="749"/>
      <c r="V50" s="749"/>
      <c r="W50" s="749"/>
      <c r="X50" s="749"/>
      <c r="Y50" s="750"/>
      <c r="Z50" s="751"/>
    </row>
    <row r="51" spans="1:26" s="74" customFormat="1" ht="11.25">
      <c r="A51" s="422" t="s">
        <v>248</v>
      </c>
      <c r="B51" s="108" t="s">
        <v>660</v>
      </c>
      <c r="C51" s="747">
        <f t="shared" si="0"/>
        <v>1546538</v>
      </c>
      <c r="D51" s="747">
        <f t="shared" si="1"/>
        <v>1546538</v>
      </c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>
        <v>1546538</v>
      </c>
      <c r="P51" s="748">
        <v>1546538</v>
      </c>
      <c r="Q51" s="748"/>
      <c r="R51" s="748"/>
      <c r="S51" s="748"/>
      <c r="T51" s="748"/>
      <c r="U51" s="749"/>
      <c r="V51" s="749"/>
      <c r="W51" s="749"/>
      <c r="X51" s="749"/>
      <c r="Y51" s="750"/>
      <c r="Z51" s="751"/>
    </row>
    <row r="52" spans="1:26" s="74" customFormat="1" ht="15" customHeight="1">
      <c r="A52" s="109" t="s">
        <v>248</v>
      </c>
      <c r="B52" s="108" t="s">
        <v>661</v>
      </c>
      <c r="C52" s="747">
        <f t="shared" si="0"/>
        <v>30787818</v>
      </c>
      <c r="D52" s="747">
        <f t="shared" si="1"/>
        <v>30787818</v>
      </c>
      <c r="E52" s="748"/>
      <c r="F52" s="748"/>
      <c r="G52" s="748"/>
      <c r="H52" s="748"/>
      <c r="I52" s="748">
        <v>30787818</v>
      </c>
      <c r="J52" s="748">
        <v>30787818</v>
      </c>
      <c r="K52" s="748"/>
      <c r="L52" s="748"/>
      <c r="M52" s="748"/>
      <c r="N52" s="748"/>
      <c r="O52" s="748"/>
      <c r="P52" s="748"/>
      <c r="Q52" s="748"/>
      <c r="R52" s="748"/>
      <c r="S52" s="748"/>
      <c r="T52" s="748"/>
      <c r="U52" s="749"/>
      <c r="V52" s="749"/>
      <c r="W52" s="749"/>
      <c r="X52" s="749"/>
      <c r="Y52" s="750"/>
      <c r="Z52" s="751"/>
    </row>
    <row r="53" spans="1:26" s="74" customFormat="1" ht="15" customHeight="1" thickBot="1">
      <c r="A53" s="109" t="s">
        <v>248</v>
      </c>
      <c r="B53" s="417" t="s">
        <v>768</v>
      </c>
      <c r="C53" s="851">
        <f t="shared" si="0"/>
        <v>1576900000</v>
      </c>
      <c r="D53" s="747">
        <f t="shared" si="1"/>
        <v>1576900000</v>
      </c>
      <c r="E53" s="748"/>
      <c r="F53" s="748"/>
      <c r="G53" s="748"/>
      <c r="H53" s="748"/>
      <c r="I53" s="748"/>
      <c r="J53" s="748"/>
      <c r="K53" s="748"/>
      <c r="L53" s="748"/>
      <c r="M53" s="748"/>
      <c r="N53" s="748"/>
      <c r="O53" s="748">
        <v>1576900000</v>
      </c>
      <c r="P53" s="748">
        <v>1576900000</v>
      </c>
      <c r="Q53" s="748"/>
      <c r="R53" s="748"/>
      <c r="S53" s="748"/>
      <c r="T53" s="748"/>
      <c r="U53" s="749"/>
      <c r="V53" s="749"/>
      <c r="W53" s="749"/>
      <c r="X53" s="749"/>
      <c r="Y53" s="750"/>
      <c r="Z53" s="751"/>
    </row>
    <row r="54" spans="1:26" s="74" customFormat="1" ht="15" hidden="1" customHeight="1">
      <c r="A54" s="109" t="s">
        <v>248</v>
      </c>
      <c r="B54" s="417"/>
      <c r="C54" s="851">
        <f t="shared" si="0"/>
        <v>0</v>
      </c>
      <c r="D54" s="747">
        <f t="shared" si="1"/>
        <v>0</v>
      </c>
      <c r="E54" s="748"/>
      <c r="F54" s="748"/>
      <c r="G54" s="748"/>
      <c r="H54" s="748"/>
      <c r="I54" s="748"/>
      <c r="J54" s="748"/>
      <c r="K54" s="748"/>
      <c r="L54" s="748"/>
      <c r="M54" s="748"/>
      <c r="N54" s="748"/>
      <c r="O54" s="748"/>
      <c r="P54" s="748"/>
      <c r="Q54" s="748"/>
      <c r="R54" s="748"/>
      <c r="S54" s="748"/>
      <c r="T54" s="748"/>
      <c r="U54" s="749"/>
      <c r="V54" s="749"/>
      <c r="W54" s="749"/>
      <c r="X54" s="749"/>
      <c r="Y54" s="750"/>
      <c r="Z54" s="751"/>
    </row>
    <row r="55" spans="1:26" s="74" customFormat="1" ht="15" hidden="1" customHeight="1">
      <c r="A55" s="109" t="s">
        <v>248</v>
      </c>
      <c r="B55" s="108" t="s">
        <v>446</v>
      </c>
      <c r="C55" s="747">
        <f t="shared" si="0"/>
        <v>0</v>
      </c>
      <c r="D55" s="747">
        <f t="shared" si="1"/>
        <v>0</v>
      </c>
      <c r="E55" s="748"/>
      <c r="F55" s="748"/>
      <c r="G55" s="748"/>
      <c r="H55" s="748"/>
      <c r="I55" s="748"/>
      <c r="J55" s="748"/>
      <c r="K55" s="748"/>
      <c r="L55" s="748"/>
      <c r="M55" s="748"/>
      <c r="N55" s="748"/>
      <c r="O55" s="748"/>
      <c r="P55" s="748"/>
      <c r="Q55" s="748"/>
      <c r="R55" s="748"/>
      <c r="S55" s="748"/>
      <c r="T55" s="748"/>
      <c r="U55" s="749"/>
      <c r="V55" s="749"/>
      <c r="W55" s="749"/>
      <c r="X55" s="749"/>
      <c r="Y55" s="750"/>
      <c r="Z55" s="751"/>
    </row>
    <row r="56" spans="1:26" s="74" customFormat="1" ht="15" hidden="1" customHeight="1">
      <c r="A56" s="109" t="s">
        <v>248</v>
      </c>
      <c r="B56" s="277" t="s">
        <v>9</v>
      </c>
      <c r="C56" s="747">
        <f t="shared" si="0"/>
        <v>0</v>
      </c>
      <c r="D56" s="747">
        <f t="shared" si="1"/>
        <v>0</v>
      </c>
      <c r="E56" s="748"/>
      <c r="F56" s="748"/>
      <c r="G56" s="748"/>
      <c r="H56" s="748"/>
      <c r="I56" s="748"/>
      <c r="J56" s="748"/>
      <c r="K56" s="748"/>
      <c r="L56" s="748"/>
      <c r="M56" s="748"/>
      <c r="N56" s="748"/>
      <c r="O56" s="748"/>
      <c r="P56" s="748"/>
      <c r="Q56" s="748"/>
      <c r="R56" s="748"/>
      <c r="S56" s="748"/>
      <c r="T56" s="748"/>
      <c r="U56" s="749"/>
      <c r="V56" s="749"/>
      <c r="W56" s="749"/>
      <c r="X56" s="749"/>
      <c r="Y56" s="750"/>
      <c r="Z56" s="751"/>
    </row>
    <row r="57" spans="1:26" s="74" customFormat="1" ht="15" hidden="1" customHeight="1">
      <c r="A57" s="109" t="s">
        <v>248</v>
      </c>
      <c r="B57" s="488" t="s">
        <v>354</v>
      </c>
      <c r="C57" s="747">
        <f t="shared" si="0"/>
        <v>0</v>
      </c>
      <c r="D57" s="747">
        <f t="shared" si="1"/>
        <v>0</v>
      </c>
      <c r="E57" s="748"/>
      <c r="F57" s="748"/>
      <c r="G57" s="748"/>
      <c r="H57" s="748"/>
      <c r="I57" s="748"/>
      <c r="J57" s="748"/>
      <c r="K57" s="748"/>
      <c r="L57" s="748"/>
      <c r="M57" s="748"/>
      <c r="N57" s="748"/>
      <c r="O57" s="748"/>
      <c r="P57" s="748"/>
      <c r="Q57" s="748"/>
      <c r="R57" s="748"/>
      <c r="S57" s="748"/>
      <c r="T57" s="748"/>
      <c r="U57" s="749"/>
      <c r="V57" s="749"/>
      <c r="W57" s="749"/>
      <c r="X57" s="749"/>
      <c r="Y57" s="750"/>
      <c r="Z57" s="751"/>
    </row>
    <row r="58" spans="1:26" s="74" customFormat="1" ht="15" hidden="1" customHeight="1">
      <c r="A58" s="109" t="s">
        <v>248</v>
      </c>
      <c r="B58" s="108" t="s">
        <v>445</v>
      </c>
      <c r="C58" s="747">
        <f t="shared" si="0"/>
        <v>0</v>
      </c>
      <c r="D58" s="747">
        <f t="shared" si="1"/>
        <v>0</v>
      </c>
      <c r="E58" s="748"/>
      <c r="F58" s="748"/>
      <c r="G58" s="748"/>
      <c r="H58" s="748"/>
      <c r="I58" s="748"/>
      <c r="J58" s="748"/>
      <c r="K58" s="748"/>
      <c r="L58" s="748"/>
      <c r="M58" s="748"/>
      <c r="N58" s="748"/>
      <c r="O58" s="748"/>
      <c r="P58" s="748"/>
      <c r="Q58" s="748"/>
      <c r="R58" s="748"/>
      <c r="S58" s="748"/>
      <c r="T58" s="748"/>
      <c r="U58" s="749"/>
      <c r="V58" s="749"/>
      <c r="W58" s="749"/>
      <c r="X58" s="749"/>
      <c r="Y58" s="750"/>
      <c r="Z58" s="751"/>
    </row>
    <row r="59" spans="1:26" s="74" customFormat="1" ht="15" hidden="1" customHeight="1" thickBot="1">
      <c r="A59" s="256"/>
      <c r="B59" s="489"/>
      <c r="C59" s="752"/>
      <c r="D59" s="752"/>
      <c r="E59" s="753"/>
      <c r="F59" s="753"/>
      <c r="G59" s="753"/>
      <c r="H59" s="753"/>
      <c r="I59" s="753"/>
      <c r="J59" s="753"/>
      <c r="K59" s="753"/>
      <c r="L59" s="753"/>
      <c r="M59" s="753"/>
      <c r="N59" s="753"/>
      <c r="O59" s="753"/>
      <c r="P59" s="753"/>
      <c r="Q59" s="753"/>
      <c r="R59" s="753"/>
      <c r="S59" s="753"/>
      <c r="T59" s="753"/>
      <c r="U59" s="754"/>
      <c r="V59" s="754"/>
      <c r="W59" s="754"/>
      <c r="X59" s="754"/>
      <c r="Y59" s="755"/>
      <c r="Z59" s="756"/>
    </row>
    <row r="60" spans="1:26" s="74" customFormat="1" ht="15" customHeight="1" thickBot="1">
      <c r="A60" s="1134" t="s">
        <v>71</v>
      </c>
      <c r="B60" s="1135"/>
      <c r="C60" s="757">
        <f>SUM(C11:C58)</f>
        <v>6511270293</v>
      </c>
      <c r="D60" s="757">
        <f>SUM(D11:D58)</f>
        <v>6599014794</v>
      </c>
      <c r="E60" s="757">
        <f t="shared" ref="E60:Z60" si="2">SUM(E11:E58)</f>
        <v>1245711860</v>
      </c>
      <c r="F60" s="757">
        <f>SUM(F11:F58)</f>
        <v>1326008995</v>
      </c>
      <c r="G60" s="757">
        <f t="shared" si="2"/>
        <v>400347020</v>
      </c>
      <c r="H60" s="757">
        <f t="shared" si="2"/>
        <v>400347020</v>
      </c>
      <c r="I60" s="757">
        <f t="shared" si="2"/>
        <v>226814875</v>
      </c>
      <c r="J60" s="757">
        <f>SUM(J11:J58)</f>
        <v>226814875</v>
      </c>
      <c r="K60" s="757">
        <f t="shared" si="2"/>
        <v>0</v>
      </c>
      <c r="L60" s="757">
        <f t="shared" si="2"/>
        <v>0</v>
      </c>
      <c r="M60" s="757">
        <f t="shared" si="2"/>
        <v>0</v>
      </c>
      <c r="N60" s="757">
        <f t="shared" si="2"/>
        <v>0</v>
      </c>
      <c r="O60" s="757">
        <f t="shared" si="2"/>
        <v>1588396538</v>
      </c>
      <c r="P60" s="757">
        <f t="shared" si="2"/>
        <v>1588396538</v>
      </c>
      <c r="Q60" s="757">
        <f t="shared" si="2"/>
        <v>0</v>
      </c>
      <c r="R60" s="757">
        <f t="shared" si="2"/>
        <v>0</v>
      </c>
      <c r="S60" s="757">
        <f t="shared" si="2"/>
        <v>0</v>
      </c>
      <c r="T60" s="757">
        <f t="shared" si="2"/>
        <v>0</v>
      </c>
      <c r="U60" s="757">
        <f t="shared" si="2"/>
        <v>3050000000</v>
      </c>
      <c r="V60" s="757">
        <f t="shared" si="2"/>
        <v>3057376064</v>
      </c>
      <c r="W60" s="757">
        <f>SUM(W11:W58)</f>
        <v>0</v>
      </c>
      <c r="X60" s="757">
        <f>SUM(X11:X58)</f>
        <v>71302</v>
      </c>
      <c r="Y60" s="757">
        <f t="shared" si="2"/>
        <v>0</v>
      </c>
      <c r="Z60" s="758">
        <f t="shared" si="2"/>
        <v>0</v>
      </c>
    </row>
    <row r="61" spans="1:26" s="74" customFormat="1" ht="13.5" customHeight="1">
      <c r="A61" s="295"/>
      <c r="B61" s="490"/>
      <c r="C61" s="759"/>
      <c r="D61" s="759"/>
      <c r="E61" s="760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760"/>
      <c r="V61" s="760"/>
      <c r="W61" s="760"/>
      <c r="X61" s="760"/>
      <c r="Y61" s="761"/>
      <c r="Z61" s="762"/>
    </row>
    <row r="62" spans="1:26" s="74" customFormat="1" ht="15" customHeight="1">
      <c r="A62" s="1136" t="s">
        <v>10</v>
      </c>
      <c r="B62" s="1137"/>
      <c r="C62" s="763">
        <f>C60-C64-C66</f>
        <v>6511270293</v>
      </c>
      <c r="D62" s="763">
        <f t="shared" ref="D62:Z62" si="3">D60-D64-D66</f>
        <v>6599014794</v>
      </c>
      <c r="E62" s="763">
        <f t="shared" si="3"/>
        <v>1245711860</v>
      </c>
      <c r="F62" s="763">
        <f t="shared" si="3"/>
        <v>1326008995</v>
      </c>
      <c r="G62" s="763">
        <f t="shared" si="3"/>
        <v>400347020</v>
      </c>
      <c r="H62" s="763">
        <f t="shared" si="3"/>
        <v>400347020</v>
      </c>
      <c r="I62" s="763">
        <f t="shared" si="3"/>
        <v>226814875</v>
      </c>
      <c r="J62" s="763">
        <f t="shared" si="3"/>
        <v>226814875</v>
      </c>
      <c r="K62" s="763">
        <f t="shared" si="3"/>
        <v>0</v>
      </c>
      <c r="L62" s="763">
        <f t="shared" si="3"/>
        <v>0</v>
      </c>
      <c r="M62" s="763">
        <f t="shared" si="3"/>
        <v>0</v>
      </c>
      <c r="N62" s="763">
        <f t="shared" si="3"/>
        <v>0</v>
      </c>
      <c r="O62" s="763">
        <f t="shared" si="3"/>
        <v>1588396538</v>
      </c>
      <c r="P62" s="763">
        <f t="shared" si="3"/>
        <v>1588396538</v>
      </c>
      <c r="Q62" s="763">
        <f t="shared" si="3"/>
        <v>0</v>
      </c>
      <c r="R62" s="763">
        <f t="shared" si="3"/>
        <v>0</v>
      </c>
      <c r="S62" s="763">
        <f t="shared" si="3"/>
        <v>0</v>
      </c>
      <c r="T62" s="763">
        <f t="shared" si="3"/>
        <v>0</v>
      </c>
      <c r="U62" s="763">
        <f t="shared" si="3"/>
        <v>3050000000</v>
      </c>
      <c r="V62" s="763">
        <f t="shared" si="3"/>
        <v>3057376064</v>
      </c>
      <c r="W62" s="763">
        <f t="shared" si="3"/>
        <v>0</v>
      </c>
      <c r="X62" s="763">
        <f t="shared" si="3"/>
        <v>71302</v>
      </c>
      <c r="Y62" s="763">
        <f t="shared" si="3"/>
        <v>0</v>
      </c>
      <c r="Z62" s="763">
        <f t="shared" si="3"/>
        <v>0</v>
      </c>
    </row>
    <row r="63" spans="1:26" s="74" customFormat="1" ht="12" customHeight="1">
      <c r="A63" s="97"/>
      <c r="B63" s="491"/>
      <c r="C63" s="763"/>
      <c r="D63" s="763"/>
      <c r="E63" s="763"/>
      <c r="F63" s="763"/>
      <c r="G63" s="763"/>
      <c r="H63" s="763"/>
      <c r="I63" s="763"/>
      <c r="J63" s="763"/>
      <c r="K63" s="763"/>
      <c r="L63" s="763"/>
      <c r="M63" s="763"/>
      <c r="N63" s="763"/>
      <c r="O63" s="763"/>
      <c r="P63" s="763"/>
      <c r="Q63" s="763"/>
      <c r="R63" s="763"/>
      <c r="S63" s="763"/>
      <c r="T63" s="763"/>
      <c r="U63" s="763"/>
      <c r="V63" s="763"/>
      <c r="W63" s="763"/>
      <c r="X63" s="763"/>
      <c r="Y63" s="763"/>
      <c r="Z63" s="763"/>
    </row>
    <row r="64" spans="1:26" s="74" customFormat="1" ht="15" customHeight="1">
      <c r="A64" s="1138" t="s">
        <v>376</v>
      </c>
      <c r="B64" s="1139"/>
      <c r="C64" s="764">
        <f>C12</f>
        <v>0</v>
      </c>
      <c r="D64" s="764">
        <f t="shared" ref="D64:Z64" si="4">D12</f>
        <v>0</v>
      </c>
      <c r="E64" s="764">
        <f t="shared" si="4"/>
        <v>0</v>
      </c>
      <c r="F64" s="764">
        <f t="shared" si="4"/>
        <v>0</v>
      </c>
      <c r="G64" s="764">
        <f t="shared" si="4"/>
        <v>0</v>
      </c>
      <c r="H64" s="764">
        <f t="shared" si="4"/>
        <v>0</v>
      </c>
      <c r="I64" s="764">
        <f t="shared" si="4"/>
        <v>0</v>
      </c>
      <c r="J64" s="764">
        <f t="shared" si="4"/>
        <v>0</v>
      </c>
      <c r="K64" s="764">
        <f t="shared" si="4"/>
        <v>0</v>
      </c>
      <c r="L64" s="764">
        <f t="shared" si="4"/>
        <v>0</v>
      </c>
      <c r="M64" s="764">
        <f t="shared" si="4"/>
        <v>0</v>
      </c>
      <c r="N64" s="764">
        <f t="shared" si="4"/>
        <v>0</v>
      </c>
      <c r="O64" s="764">
        <f t="shared" si="4"/>
        <v>0</v>
      </c>
      <c r="P64" s="764">
        <f t="shared" si="4"/>
        <v>0</v>
      </c>
      <c r="Q64" s="764">
        <f t="shared" si="4"/>
        <v>0</v>
      </c>
      <c r="R64" s="764">
        <f t="shared" si="4"/>
        <v>0</v>
      </c>
      <c r="S64" s="764">
        <f t="shared" si="4"/>
        <v>0</v>
      </c>
      <c r="T64" s="764">
        <f t="shared" si="4"/>
        <v>0</v>
      </c>
      <c r="U64" s="764">
        <f t="shared" si="4"/>
        <v>0</v>
      </c>
      <c r="V64" s="764">
        <f t="shared" si="4"/>
        <v>0</v>
      </c>
      <c r="W64" s="764">
        <f t="shared" si="4"/>
        <v>0</v>
      </c>
      <c r="X64" s="764">
        <f t="shared" si="4"/>
        <v>0</v>
      </c>
      <c r="Y64" s="764">
        <f t="shared" si="4"/>
        <v>0</v>
      </c>
      <c r="Z64" s="764">
        <f t="shared" si="4"/>
        <v>0</v>
      </c>
    </row>
    <row r="65" spans="1:26" s="74" customFormat="1" ht="12" customHeight="1">
      <c r="A65" s="415"/>
      <c r="B65" s="422"/>
      <c r="C65" s="765"/>
      <c r="D65" s="765"/>
      <c r="E65" s="765"/>
      <c r="F65" s="765"/>
      <c r="G65" s="765"/>
      <c r="H65" s="765"/>
      <c r="I65" s="765"/>
      <c r="J65" s="765"/>
      <c r="K65" s="765"/>
      <c r="L65" s="765"/>
      <c r="M65" s="765"/>
      <c r="N65" s="765"/>
      <c r="O65" s="765"/>
      <c r="P65" s="765"/>
      <c r="Q65" s="765"/>
      <c r="R65" s="765"/>
      <c r="S65" s="765"/>
      <c r="T65" s="765"/>
      <c r="U65" s="765"/>
      <c r="V65" s="765"/>
      <c r="W65" s="765"/>
      <c r="X65" s="765"/>
      <c r="Y65" s="765"/>
      <c r="Z65" s="766"/>
    </row>
    <row r="66" spans="1:26" s="74" customFormat="1" ht="15" customHeight="1" thickBot="1">
      <c r="A66" s="1130" t="s">
        <v>434</v>
      </c>
      <c r="B66" s="1131"/>
      <c r="C66" s="767">
        <v>0</v>
      </c>
      <c r="D66" s="767">
        <v>0</v>
      </c>
      <c r="E66" s="767">
        <v>0</v>
      </c>
      <c r="F66" s="767">
        <v>0</v>
      </c>
      <c r="G66" s="767">
        <v>0</v>
      </c>
      <c r="H66" s="767">
        <v>0</v>
      </c>
      <c r="I66" s="767">
        <v>0</v>
      </c>
      <c r="J66" s="767">
        <v>0</v>
      </c>
      <c r="K66" s="767">
        <v>0</v>
      </c>
      <c r="L66" s="767">
        <v>0</v>
      </c>
      <c r="M66" s="767">
        <v>0</v>
      </c>
      <c r="N66" s="767">
        <v>0</v>
      </c>
      <c r="O66" s="767">
        <v>0</v>
      </c>
      <c r="P66" s="767">
        <v>0</v>
      </c>
      <c r="Q66" s="767">
        <v>0</v>
      </c>
      <c r="R66" s="767">
        <v>0</v>
      </c>
      <c r="S66" s="767">
        <v>0</v>
      </c>
      <c r="T66" s="767">
        <v>0</v>
      </c>
      <c r="U66" s="767">
        <v>0</v>
      </c>
      <c r="V66" s="767">
        <v>0</v>
      </c>
      <c r="W66" s="767">
        <v>0</v>
      </c>
      <c r="X66" s="767">
        <v>0</v>
      </c>
      <c r="Y66" s="768">
        <v>0</v>
      </c>
      <c r="Z66" s="769">
        <v>0</v>
      </c>
    </row>
    <row r="67" spans="1:26" s="74" customFormat="1" ht="11.25">
      <c r="B67" s="492"/>
      <c r="C67" s="770"/>
      <c r="D67" s="770"/>
      <c r="E67" s="770"/>
      <c r="F67" s="770"/>
      <c r="G67" s="770"/>
      <c r="H67" s="770"/>
      <c r="I67" s="770"/>
      <c r="J67" s="770"/>
      <c r="K67" s="770"/>
      <c r="L67" s="770"/>
      <c r="M67" s="770"/>
      <c r="N67" s="770"/>
      <c r="O67" s="770"/>
      <c r="P67" s="770"/>
      <c r="Q67" s="770"/>
      <c r="R67" s="770"/>
      <c r="S67" s="770"/>
      <c r="T67" s="770"/>
      <c r="U67" s="770"/>
      <c r="V67" s="770"/>
      <c r="W67" s="770"/>
      <c r="X67" s="770"/>
      <c r="Y67" s="770"/>
      <c r="Z67" s="770"/>
    </row>
    <row r="68" spans="1:26" s="74" customFormat="1" ht="11.25">
      <c r="B68" s="492"/>
      <c r="C68" s="770"/>
      <c r="D68" s="770"/>
      <c r="E68" s="770"/>
      <c r="F68" s="770"/>
      <c r="G68" s="770"/>
      <c r="H68" s="770"/>
      <c r="I68" s="770"/>
      <c r="J68" s="770"/>
      <c r="K68" s="770"/>
      <c r="L68" s="770"/>
      <c r="M68" s="770"/>
      <c r="N68" s="770"/>
      <c r="O68" s="770"/>
      <c r="P68" s="770"/>
      <c r="Q68" s="770"/>
      <c r="R68" s="770"/>
      <c r="S68" s="770"/>
      <c r="T68" s="770"/>
      <c r="U68" s="770"/>
      <c r="V68" s="770"/>
      <c r="W68" s="770"/>
      <c r="X68" s="770"/>
      <c r="Y68" s="770"/>
      <c r="Z68" s="770"/>
    </row>
    <row r="69" spans="1:26" s="74" customFormat="1" ht="11.25" hidden="1">
      <c r="B69" s="492"/>
      <c r="C69" s="770">
        <f>C62+C64+C66</f>
        <v>6511270293</v>
      </c>
      <c r="D69" s="770">
        <f>D62+D64+D66</f>
        <v>6599014794</v>
      </c>
      <c r="E69" s="770"/>
      <c r="F69" s="770"/>
      <c r="G69" s="770"/>
      <c r="H69" s="770"/>
      <c r="I69" s="770"/>
      <c r="J69" s="770"/>
      <c r="K69" s="770"/>
      <c r="L69" s="770"/>
      <c r="M69" s="770"/>
      <c r="N69" s="770"/>
      <c r="O69" s="770"/>
      <c r="P69" s="770"/>
      <c r="Q69" s="770"/>
      <c r="R69" s="770"/>
      <c r="S69" s="770"/>
      <c r="T69" s="770"/>
      <c r="U69" s="770"/>
      <c r="V69" s="770"/>
      <c r="W69" s="770"/>
      <c r="X69" s="770"/>
      <c r="Y69" s="770"/>
      <c r="Z69" s="770"/>
    </row>
    <row r="70" spans="1:26" hidden="1">
      <c r="C70" s="771">
        <f>C60-C69</f>
        <v>0</v>
      </c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</row>
    <row r="71" spans="1:26"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</row>
    <row r="72" spans="1:26">
      <c r="C72" s="184"/>
      <c r="D72" s="184"/>
      <c r="E72" s="184"/>
      <c r="F72" s="184"/>
      <c r="G72" s="184"/>
      <c r="H72" s="184"/>
      <c r="I72" s="184"/>
      <c r="J72" s="772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</row>
    <row r="73" spans="1:26">
      <c r="F73" s="484"/>
      <c r="J73" s="168"/>
    </row>
    <row r="74" spans="1:26">
      <c r="J74" s="168"/>
    </row>
    <row r="75" spans="1:26">
      <c r="J75" s="168"/>
    </row>
  </sheetData>
  <mergeCells count="22">
    <mergeCell ref="A4:Z4"/>
    <mergeCell ref="A6:B9"/>
    <mergeCell ref="Y7:Z8"/>
    <mergeCell ref="U6:Z6"/>
    <mergeCell ref="W7:X8"/>
    <mergeCell ref="K7:L8"/>
    <mergeCell ref="E6:N6"/>
    <mergeCell ref="O6:T6"/>
    <mergeCell ref="S7:T8"/>
    <mergeCell ref="C6:D8"/>
    <mergeCell ref="M7:N8"/>
    <mergeCell ref="O7:P8"/>
    <mergeCell ref="U7:V8"/>
    <mergeCell ref="Q7:R8"/>
    <mergeCell ref="G7:H8"/>
    <mergeCell ref="I7:J8"/>
    <mergeCell ref="A66:B66"/>
    <mergeCell ref="A10:B10"/>
    <mergeCell ref="A60:B60"/>
    <mergeCell ref="A62:B62"/>
    <mergeCell ref="A64:B64"/>
    <mergeCell ref="E7:F8"/>
  </mergeCells>
  <pageMargins left="0.15748031496062992" right="0.15748031496062992" top="0.94488188976377963" bottom="0.15748031496062992" header="0.15748031496062992" footer="0.15748031496062992"/>
  <pageSetup paperSize="8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31B8-0215-4ABD-B03C-1219BAAC78C1}">
  <dimension ref="A1:AO139"/>
  <sheetViews>
    <sheetView workbookViewId="0">
      <selection activeCell="G87" sqref="G87"/>
    </sheetView>
  </sheetViews>
  <sheetFormatPr defaultRowHeight="12.75"/>
  <cols>
    <col min="1" max="1" width="10.42578125" style="331" customWidth="1"/>
    <col min="2" max="2" width="40.85546875" style="331" customWidth="1"/>
    <col min="3" max="3" width="13.85546875" style="331" customWidth="1"/>
    <col min="4" max="4" width="10.5703125" style="331" customWidth="1"/>
    <col min="5" max="6" width="9.42578125" style="331" customWidth="1"/>
    <col min="7" max="8" width="8.5703125" style="331" customWidth="1"/>
    <col min="9" max="9" width="10.140625" style="331" customWidth="1"/>
    <col min="10" max="10" width="10.7109375" style="331" customWidth="1"/>
    <col min="11" max="12" width="9.42578125" style="331" customWidth="1"/>
    <col min="13" max="13" width="8.5703125" style="331" customWidth="1"/>
    <col min="14" max="14" width="7.7109375" style="331" customWidth="1"/>
    <col min="15" max="15" width="10.28515625" style="331" customWidth="1"/>
    <col min="16" max="16" width="9.42578125" style="331" customWidth="1"/>
    <col min="17" max="17" width="10.42578125" style="331" bestFit="1" customWidth="1"/>
    <col min="18" max="18" width="11.5703125" style="331" customWidth="1"/>
    <col min="19" max="19" width="10.5703125" style="331" bestFit="1" customWidth="1"/>
    <col min="20" max="20" width="10.5703125" style="331" customWidth="1"/>
    <col min="21" max="21" width="8.42578125" style="331" bestFit="1" customWidth="1"/>
    <col min="22" max="22" width="9.28515625" style="331" customWidth="1"/>
    <col min="23" max="23" width="9.42578125" style="331" bestFit="1" customWidth="1"/>
    <col min="24" max="24" width="9.42578125" style="331" customWidth="1"/>
    <col min="25" max="25" width="8.5703125" style="331" bestFit="1" customWidth="1"/>
    <col min="26" max="26" width="8.5703125" style="331" customWidth="1"/>
    <col min="27" max="27" width="11" style="331" customWidth="1"/>
    <col min="28" max="28" width="10.5703125" style="331" customWidth="1"/>
    <col min="29" max="29" width="9.42578125" style="331" bestFit="1" customWidth="1"/>
    <col min="30" max="30" width="9.42578125" style="331" customWidth="1"/>
    <col min="31" max="31" width="8.85546875" style="331" customWidth="1"/>
    <col min="32" max="36" width="7.85546875" style="331" customWidth="1"/>
    <col min="37" max="37" width="7.42578125" style="331" customWidth="1"/>
    <col min="38" max="39" width="7.85546875" style="331" customWidth="1"/>
    <col min="40" max="41" width="8.5703125" style="331" customWidth="1"/>
    <col min="42" max="16384" width="9.140625" style="331"/>
  </cols>
  <sheetData>
    <row r="1" spans="1:41">
      <c r="I1" s="333" t="s">
        <v>429</v>
      </c>
      <c r="J1" s="414" t="str">
        <f>'bev-int'!B1</f>
        <v>melléklet a …/2024. (.  .) önkormányzati rendelethez</v>
      </c>
      <c r="K1" s="414" t="str">
        <f>'bev-int'!B1</f>
        <v>melléklet a …/2024. (.  .) önkormányzati rendelethez</v>
      </c>
      <c r="L1" s="414"/>
      <c r="M1" s="414"/>
      <c r="N1" s="414"/>
    </row>
    <row r="3" spans="1:41">
      <c r="A3" s="1089" t="s">
        <v>698</v>
      </c>
      <c r="B3" s="1169"/>
      <c r="C3" s="1169"/>
      <c r="D3" s="1169"/>
      <c r="E3" s="1169"/>
      <c r="F3" s="1169"/>
      <c r="G3" s="1169"/>
      <c r="H3" s="1169"/>
      <c r="I3" s="1169"/>
      <c r="J3" s="1169"/>
      <c r="K3" s="1169"/>
      <c r="L3" s="1169"/>
      <c r="M3" s="1169"/>
      <c r="N3" s="1169"/>
      <c r="O3" s="1169"/>
      <c r="P3" s="1169"/>
      <c r="Q3" s="1169"/>
      <c r="R3" s="1169"/>
      <c r="S3" s="1169"/>
      <c r="T3" s="1169"/>
      <c r="U3" s="1169"/>
      <c r="V3" s="1169"/>
      <c r="W3" s="1169"/>
      <c r="X3" s="1169"/>
      <c r="Y3" s="1169"/>
      <c r="Z3" s="1169"/>
      <c r="AA3" s="1169"/>
      <c r="AB3" s="1169"/>
      <c r="AC3" s="1169"/>
      <c r="AD3" s="1169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</row>
    <row r="4" spans="1:41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554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</row>
    <row r="5" spans="1:41"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786" t="s">
        <v>641</v>
      </c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</row>
    <row r="6" spans="1:41" s="337" customFormat="1" ht="12.75" customHeight="1">
      <c r="A6" s="1168" t="s">
        <v>55</v>
      </c>
      <c r="B6" s="1168"/>
      <c r="C6" s="1168" t="s">
        <v>236</v>
      </c>
      <c r="D6" s="1168"/>
      <c r="E6" s="1171" t="s">
        <v>237</v>
      </c>
      <c r="F6" s="1171"/>
      <c r="G6" s="1171"/>
      <c r="H6" s="1171"/>
      <c r="I6" s="1171"/>
      <c r="J6" s="1171"/>
      <c r="K6" s="1171"/>
      <c r="L6" s="1171"/>
      <c r="M6" s="1171"/>
      <c r="N6" s="1171"/>
      <c r="O6" s="1171"/>
      <c r="P6" s="1171"/>
      <c r="Q6" s="1171" t="s">
        <v>129</v>
      </c>
      <c r="R6" s="1171"/>
      <c r="S6" s="1171"/>
      <c r="T6" s="1171"/>
      <c r="U6" s="1171"/>
      <c r="V6" s="1171"/>
      <c r="W6" s="1171"/>
      <c r="X6" s="1171"/>
      <c r="Y6" s="1171" t="s">
        <v>77</v>
      </c>
      <c r="Z6" s="1171"/>
      <c r="AA6" s="1171"/>
      <c r="AB6" s="1171"/>
      <c r="AC6" s="1170" t="s">
        <v>469</v>
      </c>
      <c r="AD6" s="1167"/>
    </row>
    <row r="7" spans="1:41" s="337" customFormat="1" ht="12.75" customHeight="1">
      <c r="A7" s="1168"/>
      <c r="B7" s="1168"/>
      <c r="C7" s="1168"/>
      <c r="D7" s="1168"/>
      <c r="E7" s="1167" t="s">
        <v>63</v>
      </c>
      <c r="F7" s="1167"/>
      <c r="G7" s="1167" t="s">
        <v>238</v>
      </c>
      <c r="H7" s="1167"/>
      <c r="I7" s="1167" t="s">
        <v>239</v>
      </c>
      <c r="J7" s="1167"/>
      <c r="K7" s="1167" t="s">
        <v>240</v>
      </c>
      <c r="L7" s="1167"/>
      <c r="M7" s="1167" t="s">
        <v>241</v>
      </c>
      <c r="N7" s="1167"/>
      <c r="O7" s="1167" t="s">
        <v>242</v>
      </c>
      <c r="P7" s="1167"/>
      <c r="Q7" s="1168" t="s">
        <v>243</v>
      </c>
      <c r="R7" s="1168"/>
      <c r="S7" s="1168" t="s">
        <v>244</v>
      </c>
      <c r="T7" s="1168"/>
      <c r="U7" s="1167" t="s">
        <v>35</v>
      </c>
      <c r="V7" s="1167"/>
      <c r="W7" s="1166" t="s">
        <v>245</v>
      </c>
      <c r="X7" s="1166"/>
      <c r="Y7" s="1165" t="s">
        <v>468</v>
      </c>
      <c r="Z7" s="1166"/>
      <c r="AA7" s="1167" t="s">
        <v>246</v>
      </c>
      <c r="AB7" s="1167"/>
      <c r="AC7" s="1167"/>
      <c r="AD7" s="1167"/>
    </row>
    <row r="8" spans="1:41" s="337" customFormat="1" ht="51" customHeight="1">
      <c r="A8" s="1168"/>
      <c r="B8" s="1168"/>
      <c r="C8" s="1168"/>
      <c r="D8" s="1168"/>
      <c r="E8" s="1167"/>
      <c r="F8" s="1167"/>
      <c r="G8" s="1167"/>
      <c r="H8" s="1167"/>
      <c r="I8" s="1167"/>
      <c r="J8" s="1167"/>
      <c r="K8" s="1167"/>
      <c r="L8" s="1167"/>
      <c r="M8" s="1167"/>
      <c r="N8" s="1167"/>
      <c r="O8" s="1167"/>
      <c r="P8" s="1167"/>
      <c r="Q8" s="1168"/>
      <c r="R8" s="1168"/>
      <c r="S8" s="1168"/>
      <c r="T8" s="1168"/>
      <c r="U8" s="1167"/>
      <c r="V8" s="1167"/>
      <c r="W8" s="1166"/>
      <c r="X8" s="1166"/>
      <c r="Y8" s="1166"/>
      <c r="Z8" s="1166"/>
      <c r="AA8" s="1167"/>
      <c r="AB8" s="1167"/>
      <c r="AC8" s="1167"/>
      <c r="AD8" s="1167"/>
    </row>
    <row r="9" spans="1:41" s="338" customFormat="1" ht="18.75" customHeight="1">
      <c r="A9" s="1168"/>
      <c r="B9" s="1168"/>
      <c r="C9" s="418" t="s">
        <v>438</v>
      </c>
      <c r="D9" s="418" t="s">
        <v>439</v>
      </c>
      <c r="E9" s="418" t="s">
        <v>438</v>
      </c>
      <c r="F9" s="418" t="s">
        <v>439</v>
      </c>
      <c r="G9" s="418" t="s">
        <v>438</v>
      </c>
      <c r="H9" s="418" t="s">
        <v>439</v>
      </c>
      <c r="I9" s="418" t="s">
        <v>438</v>
      </c>
      <c r="J9" s="418" t="s">
        <v>439</v>
      </c>
      <c r="K9" s="418" t="s">
        <v>438</v>
      </c>
      <c r="L9" s="418" t="s">
        <v>439</v>
      </c>
      <c r="M9" s="418" t="s">
        <v>438</v>
      </c>
      <c r="N9" s="418" t="s">
        <v>439</v>
      </c>
      <c r="O9" s="418" t="s">
        <v>438</v>
      </c>
      <c r="P9" s="418" t="s">
        <v>439</v>
      </c>
      <c r="Q9" s="418" t="s">
        <v>438</v>
      </c>
      <c r="R9" s="418" t="s">
        <v>439</v>
      </c>
      <c r="S9" s="418" t="s">
        <v>438</v>
      </c>
      <c r="T9" s="418" t="s">
        <v>439</v>
      </c>
      <c r="U9" s="418" t="s">
        <v>438</v>
      </c>
      <c r="V9" s="418" t="s">
        <v>439</v>
      </c>
      <c r="W9" s="418" t="s">
        <v>438</v>
      </c>
      <c r="X9" s="418" t="s">
        <v>439</v>
      </c>
      <c r="Y9" s="418" t="s">
        <v>438</v>
      </c>
      <c r="Z9" s="418" t="s">
        <v>439</v>
      </c>
      <c r="AA9" s="418" t="s">
        <v>438</v>
      </c>
      <c r="AB9" s="418" t="s">
        <v>439</v>
      </c>
      <c r="AC9" s="418" t="s">
        <v>438</v>
      </c>
      <c r="AD9" s="418" t="s">
        <v>439</v>
      </c>
    </row>
    <row r="10" spans="1:41" s="337" customFormat="1" ht="15" customHeight="1">
      <c r="A10" s="419" t="s">
        <v>248</v>
      </c>
      <c r="B10" s="420" t="s">
        <v>247</v>
      </c>
      <c r="C10" s="773">
        <f>E10+G10+I10+K10+M10+O10+Q10+S10+U10+W10+Y10+AA10+AC10</f>
        <v>214307915</v>
      </c>
      <c r="D10" s="773">
        <f>F10+H10+J10+L10+N10+P10+R10+T10+V10+X10+Z10+AB10+AD10</f>
        <v>190543722</v>
      </c>
      <c r="E10" s="774">
        <v>34906094</v>
      </c>
      <c r="F10" s="774">
        <v>34906094</v>
      </c>
      <c r="G10" s="774">
        <v>5042290</v>
      </c>
      <c r="H10" s="774">
        <v>5042290</v>
      </c>
      <c r="I10" s="779">
        <v>52535829</v>
      </c>
      <c r="J10" s="779">
        <f>52535829+2097</f>
        <v>52537926</v>
      </c>
      <c r="K10" s="774"/>
      <c r="L10" s="774"/>
      <c r="M10" s="774"/>
      <c r="N10" s="774"/>
      <c r="O10" s="774">
        <v>55216212</v>
      </c>
      <c r="P10" s="774">
        <f>tart_!D8</f>
        <v>31449922</v>
      </c>
      <c r="Q10" s="774"/>
      <c r="R10" s="774"/>
      <c r="S10" s="774">
        <v>1507490</v>
      </c>
      <c r="T10" s="774">
        <v>1507490</v>
      </c>
      <c r="U10" s="774"/>
      <c r="V10" s="774"/>
      <c r="W10" s="774">
        <v>65100000</v>
      </c>
      <c r="X10" s="774">
        <v>65100000</v>
      </c>
      <c r="Y10" s="774"/>
      <c r="Z10" s="774"/>
      <c r="AA10" s="774"/>
      <c r="AB10" s="774"/>
      <c r="AC10" s="774"/>
      <c r="AD10" s="774"/>
      <c r="AE10" s="775"/>
      <c r="AF10" s="775"/>
      <c r="AG10" s="339"/>
      <c r="AH10" s="339"/>
      <c r="AI10" s="339"/>
    </row>
    <row r="11" spans="1:41" s="337" customFormat="1" ht="15" customHeight="1">
      <c r="A11" s="419" t="s">
        <v>248</v>
      </c>
      <c r="B11" s="420" t="s">
        <v>249</v>
      </c>
      <c r="C11" s="773">
        <f>E11+G11+I11+K11+M11+O11+Q11+S11+U11+W11+Y11+AA11+AC11</f>
        <v>3427001</v>
      </c>
      <c r="D11" s="773">
        <f>F11+H11+J11+L11+N11+P11+R11+T11+V11+X11+Z11+AB11+AD11</f>
        <v>4993292</v>
      </c>
      <c r="E11" s="774"/>
      <c r="F11" s="774"/>
      <c r="G11" s="774"/>
      <c r="H11" s="774"/>
      <c r="I11" s="779">
        <v>127000</v>
      </c>
      <c r="J11" s="779">
        <f>127000+508000</f>
        <v>635000</v>
      </c>
      <c r="K11" s="774"/>
      <c r="L11" s="774"/>
      <c r="M11" s="774"/>
      <c r="N11" s="774"/>
      <c r="O11" s="774"/>
      <c r="P11" s="774"/>
      <c r="Q11" s="779">
        <v>1000001</v>
      </c>
      <c r="R11" s="779">
        <v>1000001</v>
      </c>
      <c r="S11" s="774">
        <v>2300000</v>
      </c>
      <c r="T11" s="774">
        <f>2300000+1058291</f>
        <v>3358291</v>
      </c>
      <c r="U11" s="774"/>
      <c r="V11" s="774"/>
      <c r="W11" s="774"/>
      <c r="X11" s="774"/>
      <c r="Y11" s="774"/>
      <c r="Z11" s="774"/>
      <c r="AA11" s="774"/>
      <c r="AB11" s="774"/>
      <c r="AC11" s="774"/>
      <c r="AD11" s="774"/>
      <c r="AE11" s="775"/>
      <c r="AF11" s="775"/>
      <c r="AG11" s="339"/>
      <c r="AH11" s="339"/>
      <c r="AI11" s="339"/>
    </row>
    <row r="12" spans="1:41" s="337" customFormat="1" ht="14.25" customHeight="1">
      <c r="A12" s="419" t="s">
        <v>248</v>
      </c>
      <c r="B12" s="420" t="s">
        <v>250</v>
      </c>
      <c r="C12" s="773">
        <f t="shared" ref="C12:C44" si="0">E12+G12+I12+K12+M12+O12+Q12+S12+U12+W12+Y12+AA12+AC12</f>
        <v>70892438</v>
      </c>
      <c r="D12" s="773">
        <f t="shared" ref="D12:D44" si="1">F12+H12+J12+L12+N12+P12+R12+T12+V12+X12+Z12+AB12+AD12</f>
        <v>69053891</v>
      </c>
      <c r="E12" s="774"/>
      <c r="F12" s="774"/>
      <c r="G12" s="774"/>
      <c r="H12" s="774"/>
      <c r="I12" s="779">
        <v>28282867</v>
      </c>
      <c r="J12" s="779">
        <f>28282867+627888</f>
        <v>28910755</v>
      </c>
      <c r="K12" s="774"/>
      <c r="L12" s="774"/>
      <c r="M12" s="774"/>
      <c r="N12" s="774"/>
      <c r="O12" s="774"/>
      <c r="P12" s="774"/>
      <c r="Q12" s="779">
        <v>5509572</v>
      </c>
      <c r="R12" s="779">
        <f>5509572-2466435</f>
        <v>3043137</v>
      </c>
      <c r="S12" s="774">
        <v>37099999</v>
      </c>
      <c r="T12" s="774">
        <v>37099999</v>
      </c>
      <c r="U12" s="774"/>
      <c r="V12" s="774"/>
      <c r="W12" s="774"/>
      <c r="X12" s="774"/>
      <c r="Y12" s="774"/>
      <c r="Z12" s="774"/>
      <c r="AA12" s="774"/>
      <c r="AB12" s="774"/>
      <c r="AC12" s="774"/>
      <c r="AD12" s="774"/>
      <c r="AE12" s="775"/>
      <c r="AF12" s="775"/>
      <c r="AG12" s="339"/>
      <c r="AH12" s="339"/>
      <c r="AI12" s="339"/>
    </row>
    <row r="13" spans="1:41" s="337" customFormat="1" ht="15" customHeight="1">
      <c r="A13" s="419" t="s">
        <v>377</v>
      </c>
      <c r="B13" s="420" t="s">
        <v>251</v>
      </c>
      <c r="C13" s="773">
        <f t="shared" si="0"/>
        <v>1566804</v>
      </c>
      <c r="D13" s="773">
        <f t="shared" si="1"/>
        <v>1596332</v>
      </c>
      <c r="E13" s="776">
        <v>1000000</v>
      </c>
      <c r="F13" s="776">
        <v>1000000</v>
      </c>
      <c r="G13" s="776">
        <v>268304</v>
      </c>
      <c r="H13" s="776">
        <v>268304</v>
      </c>
      <c r="I13" s="779">
        <v>298500</v>
      </c>
      <c r="J13" s="779">
        <f>298500+29528</f>
        <v>328028</v>
      </c>
      <c r="K13" s="776"/>
      <c r="L13" s="776"/>
      <c r="M13" s="776"/>
      <c r="N13" s="776"/>
      <c r="O13" s="776"/>
      <c r="P13" s="776"/>
      <c r="Q13" s="778"/>
      <c r="R13" s="778"/>
      <c r="S13" s="776"/>
      <c r="T13" s="776"/>
      <c r="U13" s="776"/>
      <c r="V13" s="776"/>
      <c r="W13" s="776"/>
      <c r="X13" s="776"/>
      <c r="Y13" s="776"/>
      <c r="Z13" s="776"/>
      <c r="AA13" s="774"/>
      <c r="AB13" s="774"/>
      <c r="AC13" s="774"/>
      <c r="AD13" s="774"/>
      <c r="AE13" s="775"/>
      <c r="AF13" s="775"/>
      <c r="AG13" s="339"/>
      <c r="AH13" s="339"/>
      <c r="AI13" s="339"/>
    </row>
    <row r="14" spans="1:41" s="337" customFormat="1" ht="15" customHeight="1">
      <c r="A14" s="419" t="s">
        <v>248</v>
      </c>
      <c r="B14" s="108" t="s">
        <v>526</v>
      </c>
      <c r="C14" s="773">
        <f t="shared" si="0"/>
        <v>37146335</v>
      </c>
      <c r="D14" s="773">
        <f t="shared" si="1"/>
        <v>37781335</v>
      </c>
      <c r="E14" s="774"/>
      <c r="F14" s="774"/>
      <c r="G14" s="774"/>
      <c r="H14" s="774"/>
      <c r="I14" s="779">
        <v>17461335</v>
      </c>
      <c r="J14" s="779">
        <f>17461335+2159305</f>
        <v>19620640</v>
      </c>
      <c r="K14" s="774"/>
      <c r="L14" s="774"/>
      <c r="M14" s="774"/>
      <c r="N14" s="774"/>
      <c r="O14" s="774"/>
      <c r="P14" s="774"/>
      <c r="Q14" s="779">
        <v>19050000</v>
      </c>
      <c r="R14" s="779">
        <f>19050000-1524305</f>
        <v>17525695</v>
      </c>
      <c r="S14" s="774">
        <v>635000</v>
      </c>
      <c r="T14" s="774">
        <v>635000</v>
      </c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5"/>
      <c r="AF14" s="775"/>
      <c r="AG14" s="339"/>
      <c r="AH14" s="339"/>
      <c r="AI14" s="339"/>
    </row>
    <row r="15" spans="1:41" s="337" customFormat="1" ht="15" customHeight="1">
      <c r="A15" s="419" t="s">
        <v>248</v>
      </c>
      <c r="B15" s="416" t="s">
        <v>527</v>
      </c>
      <c r="C15" s="773">
        <f t="shared" si="0"/>
        <v>73376844</v>
      </c>
      <c r="D15" s="773">
        <f t="shared" si="1"/>
        <v>73376844</v>
      </c>
      <c r="E15" s="776"/>
      <c r="F15" s="776"/>
      <c r="G15" s="776"/>
      <c r="H15" s="776"/>
      <c r="I15" s="778"/>
      <c r="J15" s="778"/>
      <c r="K15" s="776">
        <v>30000000</v>
      </c>
      <c r="L15" s="776">
        <v>30000000</v>
      </c>
      <c r="M15" s="776"/>
      <c r="N15" s="776"/>
      <c r="O15" s="776"/>
      <c r="P15" s="776"/>
      <c r="Q15" s="776"/>
      <c r="R15" s="776"/>
      <c r="S15" s="776"/>
      <c r="T15" s="776"/>
      <c r="U15" s="776"/>
      <c r="V15" s="776"/>
      <c r="W15" s="776"/>
      <c r="X15" s="776"/>
      <c r="Y15" s="776">
        <v>43376844</v>
      </c>
      <c r="Z15" s="776">
        <v>43376844</v>
      </c>
      <c r="AA15" s="774"/>
      <c r="AB15" s="774"/>
      <c r="AC15" s="774"/>
      <c r="AD15" s="774"/>
      <c r="AE15" s="775"/>
      <c r="AF15" s="775"/>
      <c r="AG15" s="339"/>
      <c r="AH15" s="339"/>
      <c r="AI15" s="339"/>
    </row>
    <row r="16" spans="1:41" s="337" customFormat="1" ht="15" customHeight="1">
      <c r="A16" s="419" t="s">
        <v>248</v>
      </c>
      <c r="B16" s="416" t="s">
        <v>619</v>
      </c>
      <c r="C16" s="773">
        <f t="shared" si="0"/>
        <v>101403119</v>
      </c>
      <c r="D16" s="773">
        <f t="shared" si="1"/>
        <v>101403119</v>
      </c>
      <c r="E16" s="776"/>
      <c r="F16" s="776"/>
      <c r="G16" s="776"/>
      <c r="H16" s="776"/>
      <c r="I16" s="778"/>
      <c r="J16" s="778"/>
      <c r="K16" s="776">
        <v>101403119</v>
      </c>
      <c r="L16" s="776">
        <v>101403119</v>
      </c>
      <c r="M16" s="776"/>
      <c r="N16" s="776"/>
      <c r="O16" s="776"/>
      <c r="P16" s="776"/>
      <c r="Q16" s="776"/>
      <c r="R16" s="776"/>
      <c r="S16" s="776"/>
      <c r="T16" s="776"/>
      <c r="U16" s="776"/>
      <c r="V16" s="776"/>
      <c r="W16" s="776"/>
      <c r="X16" s="776"/>
      <c r="Y16" s="776"/>
      <c r="Z16" s="776"/>
      <c r="AA16" s="774"/>
      <c r="AB16" s="774"/>
      <c r="AC16" s="774"/>
      <c r="AD16" s="774"/>
      <c r="AE16" s="775"/>
      <c r="AF16" s="775"/>
      <c r="AG16" s="339"/>
      <c r="AH16" s="339"/>
      <c r="AI16" s="339"/>
    </row>
    <row r="17" spans="1:35" s="337" customFormat="1" ht="15" customHeight="1">
      <c r="A17" s="419" t="s">
        <v>248</v>
      </c>
      <c r="B17" s="420" t="s">
        <v>253</v>
      </c>
      <c r="C17" s="773">
        <f t="shared" si="0"/>
        <v>6667500</v>
      </c>
      <c r="D17" s="773">
        <f t="shared" si="1"/>
        <v>14574455</v>
      </c>
      <c r="E17" s="776"/>
      <c r="F17" s="776"/>
      <c r="G17" s="776"/>
      <c r="H17" s="776"/>
      <c r="I17" s="778">
        <v>6667500</v>
      </c>
      <c r="J17" s="778">
        <f>6667500+543058</f>
        <v>7210558</v>
      </c>
      <c r="K17" s="776"/>
      <c r="L17" s="776"/>
      <c r="M17" s="776"/>
      <c r="N17" s="776"/>
      <c r="O17" s="776"/>
      <c r="P17" s="776"/>
      <c r="Q17" s="778"/>
      <c r="R17" s="778"/>
      <c r="S17" s="776"/>
      <c r="T17" s="776">
        <v>7363897</v>
      </c>
      <c r="U17" s="776"/>
      <c r="V17" s="776"/>
      <c r="W17" s="776"/>
      <c r="X17" s="776"/>
      <c r="Y17" s="776"/>
      <c r="Z17" s="776"/>
      <c r="AA17" s="774"/>
      <c r="AB17" s="774"/>
      <c r="AC17" s="774"/>
      <c r="AD17" s="774"/>
      <c r="AE17" s="775"/>
      <c r="AF17" s="775"/>
      <c r="AG17" s="339"/>
      <c r="AH17" s="339"/>
      <c r="AI17" s="339"/>
    </row>
    <row r="18" spans="1:35" s="337" customFormat="1" ht="15" customHeight="1">
      <c r="A18" s="421" t="s">
        <v>248</v>
      </c>
      <c r="B18" s="412" t="s">
        <v>522</v>
      </c>
      <c r="C18" s="773">
        <f t="shared" si="0"/>
        <v>5732330</v>
      </c>
      <c r="D18" s="773">
        <f t="shared" si="1"/>
        <v>11632606</v>
      </c>
      <c r="E18" s="774">
        <v>5388422</v>
      </c>
      <c r="F18" s="774">
        <f>5388422+5042524</f>
        <v>10430946</v>
      </c>
      <c r="G18" s="774">
        <v>343908</v>
      </c>
      <c r="H18" s="774">
        <f>343908+327764</f>
        <v>671672</v>
      </c>
      <c r="I18" s="779"/>
      <c r="J18" s="779">
        <v>187248</v>
      </c>
      <c r="K18" s="774"/>
      <c r="L18" s="774"/>
      <c r="M18" s="774"/>
      <c r="N18" s="774"/>
      <c r="O18" s="774"/>
      <c r="P18" s="774"/>
      <c r="Q18" s="779"/>
      <c r="R18" s="779"/>
      <c r="S18" s="774"/>
      <c r="T18" s="774">
        <v>342740</v>
      </c>
      <c r="U18" s="774"/>
      <c r="V18" s="774"/>
      <c r="W18" s="774"/>
      <c r="X18" s="774"/>
      <c r="Y18" s="774"/>
      <c r="Z18" s="774"/>
      <c r="AA18" s="774"/>
      <c r="AB18" s="774"/>
      <c r="AC18" s="774"/>
      <c r="AD18" s="774"/>
      <c r="AE18" s="775"/>
      <c r="AF18" s="775"/>
      <c r="AG18" s="339"/>
      <c r="AH18" s="339"/>
      <c r="AI18" s="339"/>
    </row>
    <row r="19" spans="1:35" s="337" customFormat="1" ht="15" customHeight="1">
      <c r="A19" s="421" t="s">
        <v>248</v>
      </c>
      <c r="B19" s="412" t="s">
        <v>553</v>
      </c>
      <c r="C19" s="773">
        <f>E19+G19+I19+K19+M19+O19+Q19+S19+U19+W19+Y19+AA19+AC19</f>
        <v>0</v>
      </c>
      <c r="D19" s="773">
        <f>F19+H19+J19+L19+N19+P19+R19+T19+V19+X19+Z19+AB19+AD19</f>
        <v>688170</v>
      </c>
      <c r="E19" s="774"/>
      <c r="F19" s="774">
        <v>609000</v>
      </c>
      <c r="G19" s="774"/>
      <c r="H19" s="774">
        <v>79170</v>
      </c>
      <c r="I19" s="779"/>
      <c r="J19" s="779"/>
      <c r="K19" s="774"/>
      <c r="L19" s="774"/>
      <c r="M19" s="774"/>
      <c r="N19" s="774"/>
      <c r="O19" s="774"/>
      <c r="P19" s="774"/>
      <c r="Q19" s="779"/>
      <c r="R19" s="779"/>
      <c r="S19" s="774"/>
      <c r="T19" s="774"/>
      <c r="U19" s="774"/>
      <c r="V19" s="774"/>
      <c r="W19" s="774"/>
      <c r="X19" s="774"/>
      <c r="Y19" s="774"/>
      <c r="Z19" s="774"/>
      <c r="AA19" s="774"/>
      <c r="AB19" s="774"/>
      <c r="AC19" s="774"/>
      <c r="AD19" s="774"/>
      <c r="AE19" s="775"/>
      <c r="AF19" s="775"/>
      <c r="AG19" s="339"/>
      <c r="AH19" s="339"/>
      <c r="AI19" s="339"/>
    </row>
    <row r="20" spans="1:35" s="337" customFormat="1" ht="15" customHeight="1">
      <c r="A20" s="421" t="s">
        <v>248</v>
      </c>
      <c r="B20" s="412" t="s">
        <v>663</v>
      </c>
      <c r="C20" s="773">
        <f t="shared" si="0"/>
        <v>2413000</v>
      </c>
      <c r="D20" s="773">
        <f>F20+H20+J20+L20+N20+P20+R20+T20+V20+X20+Z20+AB20+AD20</f>
        <v>2794000</v>
      </c>
      <c r="E20" s="774"/>
      <c r="F20" s="774"/>
      <c r="G20" s="774"/>
      <c r="H20" s="774"/>
      <c r="I20" s="779">
        <v>2413000</v>
      </c>
      <c r="J20" s="779">
        <f>2413000+381000</f>
        <v>2794000</v>
      </c>
      <c r="K20" s="774"/>
      <c r="L20" s="774"/>
      <c r="M20" s="774"/>
      <c r="N20" s="774"/>
      <c r="O20" s="774"/>
      <c r="P20" s="774"/>
      <c r="Q20" s="779"/>
      <c r="R20" s="779"/>
      <c r="S20" s="774"/>
      <c r="T20" s="774"/>
      <c r="U20" s="774"/>
      <c r="V20" s="774"/>
      <c r="W20" s="774"/>
      <c r="X20" s="774"/>
      <c r="Y20" s="774"/>
      <c r="Z20" s="774"/>
      <c r="AA20" s="774"/>
      <c r="AB20" s="774"/>
      <c r="AC20" s="774"/>
      <c r="AD20" s="774"/>
      <c r="AE20" s="775"/>
      <c r="AF20" s="775"/>
      <c r="AG20" s="339"/>
      <c r="AH20" s="339"/>
      <c r="AI20" s="339"/>
    </row>
    <row r="21" spans="1:35" s="337" customFormat="1" ht="15" customHeight="1">
      <c r="A21" s="419" t="s">
        <v>248</v>
      </c>
      <c r="B21" s="420" t="s">
        <v>254</v>
      </c>
      <c r="C21" s="773">
        <f t="shared" si="0"/>
        <v>71224000</v>
      </c>
      <c r="D21" s="773">
        <f t="shared" si="1"/>
        <v>71224000</v>
      </c>
      <c r="E21" s="774"/>
      <c r="F21" s="774"/>
      <c r="G21" s="774"/>
      <c r="H21" s="774"/>
      <c r="I21" s="779">
        <v>6524000</v>
      </c>
      <c r="J21" s="779">
        <v>6524000</v>
      </c>
      <c r="K21" s="774"/>
      <c r="L21" s="774"/>
      <c r="M21" s="773"/>
      <c r="N21" s="773"/>
      <c r="O21" s="773"/>
      <c r="P21" s="773"/>
      <c r="Q21" s="779">
        <v>64200000</v>
      </c>
      <c r="R21" s="779">
        <v>64200000</v>
      </c>
      <c r="S21" s="774">
        <v>500000</v>
      </c>
      <c r="T21" s="774">
        <v>500000</v>
      </c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775"/>
      <c r="AF21" s="775"/>
      <c r="AG21" s="339"/>
      <c r="AH21" s="339"/>
      <c r="AI21" s="339"/>
    </row>
    <row r="22" spans="1:35" s="337" customFormat="1" ht="15" customHeight="1">
      <c r="A22" s="419" t="s">
        <v>248</v>
      </c>
      <c r="B22" s="420" t="s">
        <v>255</v>
      </c>
      <c r="C22" s="773">
        <f t="shared" si="0"/>
        <v>153652588</v>
      </c>
      <c r="D22" s="773">
        <f t="shared" si="1"/>
        <v>153652588</v>
      </c>
      <c r="E22" s="774"/>
      <c r="F22" s="774"/>
      <c r="G22" s="774"/>
      <c r="H22" s="774"/>
      <c r="I22" s="779"/>
      <c r="J22" s="779"/>
      <c r="K22" s="774"/>
      <c r="L22" s="774"/>
      <c r="M22" s="774"/>
      <c r="N22" s="774"/>
      <c r="O22" s="774"/>
      <c r="P22" s="774"/>
      <c r="Q22" s="779">
        <v>153652588</v>
      </c>
      <c r="R22" s="779">
        <v>153652588</v>
      </c>
      <c r="S22" s="774"/>
      <c r="T22" s="774"/>
      <c r="U22" s="774"/>
      <c r="V22" s="774"/>
      <c r="W22" s="774"/>
      <c r="X22" s="774"/>
      <c r="Y22" s="774"/>
      <c r="Z22" s="774"/>
      <c r="AA22" s="774"/>
      <c r="AB22" s="774"/>
      <c r="AC22" s="774"/>
      <c r="AD22" s="774"/>
      <c r="AE22" s="777"/>
      <c r="AF22" s="777"/>
    </row>
    <row r="23" spans="1:35" s="337" customFormat="1" ht="15" customHeight="1">
      <c r="A23" s="419" t="s">
        <v>248</v>
      </c>
      <c r="B23" s="420" t="s">
        <v>256</v>
      </c>
      <c r="C23" s="773">
        <f t="shared" si="0"/>
        <v>20955000</v>
      </c>
      <c r="D23" s="773">
        <f t="shared" si="1"/>
        <v>22479000</v>
      </c>
      <c r="E23" s="776"/>
      <c r="F23" s="776"/>
      <c r="G23" s="776"/>
      <c r="H23" s="776"/>
      <c r="I23" s="778">
        <v>20955000</v>
      </c>
      <c r="J23" s="778">
        <f>20955000+1524000</f>
        <v>22479000</v>
      </c>
      <c r="K23" s="776"/>
      <c r="L23" s="776"/>
      <c r="M23" s="776"/>
      <c r="N23" s="776"/>
      <c r="O23" s="776"/>
      <c r="P23" s="776"/>
      <c r="Q23" s="778"/>
      <c r="R23" s="778"/>
      <c r="S23" s="776"/>
      <c r="T23" s="776"/>
      <c r="U23" s="776"/>
      <c r="V23" s="776"/>
      <c r="W23" s="776"/>
      <c r="X23" s="776"/>
      <c r="Y23" s="776"/>
      <c r="Z23" s="776"/>
      <c r="AA23" s="774"/>
      <c r="AB23" s="774"/>
      <c r="AC23" s="774"/>
      <c r="AD23" s="774"/>
      <c r="AE23" s="775"/>
      <c r="AF23" s="775"/>
      <c r="AG23" s="339"/>
      <c r="AH23" s="339"/>
      <c r="AI23" s="339"/>
    </row>
    <row r="24" spans="1:35" s="337" customFormat="1" ht="15" customHeight="1">
      <c r="A24" s="419" t="s">
        <v>248</v>
      </c>
      <c r="B24" s="420" t="s">
        <v>314</v>
      </c>
      <c r="C24" s="773">
        <f t="shared" si="0"/>
        <v>11103620</v>
      </c>
      <c r="D24" s="773">
        <f>F24+H24+J24+L24+N24+P24+R24+T24+V24+X24+Z24+AB24+AD24</f>
        <v>11103620</v>
      </c>
      <c r="E24" s="776">
        <v>9674000</v>
      </c>
      <c r="F24" s="776">
        <v>9674000</v>
      </c>
      <c r="G24" s="776">
        <v>1302620</v>
      </c>
      <c r="H24" s="776">
        <v>1302620</v>
      </c>
      <c r="I24" s="778">
        <v>127000</v>
      </c>
      <c r="J24" s="778">
        <v>127000</v>
      </c>
      <c r="K24" s="776"/>
      <c r="L24" s="776"/>
      <c r="M24" s="776"/>
      <c r="N24" s="776"/>
      <c r="O24" s="776"/>
      <c r="P24" s="776"/>
      <c r="Q24" s="778"/>
      <c r="R24" s="778"/>
      <c r="S24" s="776"/>
      <c r="T24" s="776"/>
      <c r="U24" s="776"/>
      <c r="V24" s="776"/>
      <c r="W24" s="776"/>
      <c r="X24" s="776"/>
      <c r="Y24" s="776"/>
      <c r="Z24" s="776"/>
      <c r="AA24" s="774"/>
      <c r="AB24" s="774"/>
      <c r="AC24" s="774"/>
      <c r="AD24" s="774"/>
      <c r="AE24" s="775"/>
      <c r="AF24" s="775"/>
      <c r="AG24" s="339"/>
      <c r="AH24" s="339"/>
      <c r="AI24" s="339"/>
    </row>
    <row r="25" spans="1:35" s="337" customFormat="1" ht="15" customHeight="1">
      <c r="A25" s="419" t="s">
        <v>248</v>
      </c>
      <c r="B25" s="420" t="s">
        <v>277</v>
      </c>
      <c r="C25" s="773">
        <f t="shared" si="0"/>
        <v>45017420</v>
      </c>
      <c r="D25" s="773">
        <f t="shared" si="1"/>
        <v>45020929</v>
      </c>
      <c r="E25" s="776">
        <v>19030000</v>
      </c>
      <c r="F25" s="776">
        <f>19030000+98868-1846394-1333000</f>
        <v>15949474</v>
      </c>
      <c r="G25" s="776">
        <v>2152480</v>
      </c>
      <c r="H25" s="776">
        <f>2152480-244162-177040</f>
        <v>1731278</v>
      </c>
      <c r="I25" s="778">
        <v>21834940</v>
      </c>
      <c r="J25" s="778">
        <f>21834940+2971837</f>
        <v>24806777</v>
      </c>
      <c r="K25" s="776"/>
      <c r="L25" s="776"/>
      <c r="M25" s="778"/>
      <c r="N25" s="778"/>
      <c r="O25" s="776"/>
      <c r="P25" s="776"/>
      <c r="Q25" s="778">
        <v>2000000</v>
      </c>
      <c r="R25" s="778">
        <v>2000000</v>
      </c>
      <c r="S25" s="776"/>
      <c r="T25" s="776">
        <v>533400</v>
      </c>
      <c r="U25" s="776"/>
      <c r="V25" s="776"/>
      <c r="W25" s="776"/>
      <c r="X25" s="776"/>
      <c r="Y25" s="776"/>
      <c r="Z25" s="776"/>
      <c r="AA25" s="774"/>
      <c r="AB25" s="774"/>
      <c r="AC25" s="774"/>
      <c r="AD25" s="774"/>
      <c r="AE25" s="775"/>
      <c r="AF25" s="775"/>
      <c r="AG25" s="339"/>
      <c r="AH25" s="339"/>
      <c r="AI25" s="339"/>
    </row>
    <row r="26" spans="1:35" s="337" customFormat="1" ht="15" customHeight="1">
      <c r="A26" s="419" t="s">
        <v>248</v>
      </c>
      <c r="B26" s="420" t="s">
        <v>278</v>
      </c>
      <c r="C26" s="773">
        <f t="shared" si="0"/>
        <v>8465573</v>
      </c>
      <c r="D26" s="773">
        <f t="shared" si="1"/>
        <v>8972237</v>
      </c>
      <c r="E26" s="776"/>
      <c r="F26" s="776"/>
      <c r="G26" s="776"/>
      <c r="H26" s="776"/>
      <c r="I26" s="778">
        <v>7636673</v>
      </c>
      <c r="J26" s="778">
        <f>7636673+506664</f>
        <v>8143337</v>
      </c>
      <c r="K26" s="776">
        <v>828900</v>
      </c>
      <c r="L26" s="776">
        <v>828900</v>
      </c>
      <c r="M26" s="778"/>
      <c r="N26" s="778"/>
      <c r="O26" s="776"/>
      <c r="P26" s="776"/>
      <c r="Q26" s="778"/>
      <c r="R26" s="778"/>
      <c r="S26" s="776"/>
      <c r="T26" s="776"/>
      <c r="U26" s="776"/>
      <c r="V26" s="776"/>
      <c r="W26" s="776"/>
      <c r="X26" s="776"/>
      <c r="Y26" s="776"/>
      <c r="Z26" s="776"/>
      <c r="AA26" s="774"/>
      <c r="AB26" s="774"/>
      <c r="AC26" s="774"/>
      <c r="AD26" s="774"/>
      <c r="AE26" s="775"/>
      <c r="AF26" s="775"/>
      <c r="AG26" s="339"/>
      <c r="AH26" s="339"/>
      <c r="AI26" s="339"/>
    </row>
    <row r="27" spans="1:35" s="337" customFormat="1" ht="15" hidden="1" customHeight="1">
      <c r="A27" s="419" t="s">
        <v>248</v>
      </c>
      <c r="B27" s="420" t="s">
        <v>284</v>
      </c>
      <c r="C27" s="773">
        <f t="shared" si="0"/>
        <v>0</v>
      </c>
      <c r="D27" s="773">
        <f t="shared" si="1"/>
        <v>0</v>
      </c>
      <c r="E27" s="776"/>
      <c r="F27" s="776"/>
      <c r="G27" s="776"/>
      <c r="H27" s="776"/>
      <c r="I27" s="778"/>
      <c r="J27" s="778"/>
      <c r="K27" s="776"/>
      <c r="L27" s="776"/>
      <c r="M27" s="778"/>
      <c r="N27" s="778"/>
      <c r="O27" s="776"/>
      <c r="P27" s="776"/>
      <c r="Q27" s="778"/>
      <c r="R27" s="778"/>
      <c r="S27" s="776"/>
      <c r="T27" s="776"/>
      <c r="U27" s="776"/>
      <c r="V27" s="776"/>
      <c r="W27" s="776"/>
      <c r="X27" s="776"/>
      <c r="Y27" s="776"/>
      <c r="Z27" s="776"/>
      <c r="AA27" s="774"/>
      <c r="AB27" s="774"/>
      <c r="AC27" s="774"/>
      <c r="AD27" s="774"/>
      <c r="AE27" s="775"/>
      <c r="AF27" s="775"/>
      <c r="AG27" s="339"/>
      <c r="AH27" s="339"/>
      <c r="AI27" s="339"/>
    </row>
    <row r="28" spans="1:35" s="337" customFormat="1" ht="15" hidden="1" customHeight="1">
      <c r="A28" s="419" t="s">
        <v>248</v>
      </c>
      <c r="B28" s="108" t="s">
        <v>640</v>
      </c>
      <c r="C28" s="773">
        <f t="shared" si="0"/>
        <v>0</v>
      </c>
      <c r="D28" s="773">
        <f>F28+H28+J28+L28+N28+P28+R28+T28+V28+X28+Z28+AB28+AD28</f>
        <v>0</v>
      </c>
      <c r="E28" s="776"/>
      <c r="F28" s="776"/>
      <c r="G28" s="776"/>
      <c r="H28" s="776"/>
      <c r="I28" s="778"/>
      <c r="J28" s="778"/>
      <c r="K28" s="776"/>
      <c r="L28" s="776"/>
      <c r="M28" s="778"/>
      <c r="N28" s="778"/>
      <c r="O28" s="776"/>
      <c r="P28" s="776"/>
      <c r="Q28" s="778"/>
      <c r="R28" s="778"/>
      <c r="S28" s="776"/>
      <c r="T28" s="776"/>
      <c r="U28" s="776"/>
      <c r="V28" s="776"/>
      <c r="W28" s="776"/>
      <c r="X28" s="776"/>
      <c r="Y28" s="776"/>
      <c r="Z28" s="776"/>
      <c r="AA28" s="774"/>
      <c r="AB28" s="774"/>
      <c r="AC28" s="774"/>
      <c r="AD28" s="774"/>
      <c r="AE28" s="775"/>
      <c r="AF28" s="775"/>
      <c r="AG28" s="339"/>
      <c r="AH28" s="339"/>
      <c r="AI28" s="339"/>
    </row>
    <row r="29" spans="1:35" s="337" customFormat="1" ht="15" hidden="1" customHeight="1">
      <c r="A29" s="419" t="s">
        <v>248</v>
      </c>
      <c r="B29" s="420" t="s">
        <v>285</v>
      </c>
      <c r="C29" s="773">
        <f t="shared" si="0"/>
        <v>0</v>
      </c>
      <c r="D29" s="773">
        <f t="shared" si="1"/>
        <v>0</v>
      </c>
      <c r="E29" s="776"/>
      <c r="F29" s="776"/>
      <c r="G29" s="776"/>
      <c r="H29" s="776"/>
      <c r="I29" s="778"/>
      <c r="J29" s="778"/>
      <c r="K29" s="776"/>
      <c r="L29" s="776"/>
      <c r="M29" s="778"/>
      <c r="N29" s="778"/>
      <c r="O29" s="776"/>
      <c r="P29" s="776"/>
      <c r="Q29" s="778"/>
      <c r="R29" s="778"/>
      <c r="S29" s="776"/>
      <c r="T29" s="776"/>
      <c r="U29" s="776"/>
      <c r="V29" s="776"/>
      <c r="W29" s="776"/>
      <c r="X29" s="776"/>
      <c r="Y29" s="776"/>
      <c r="Z29" s="776"/>
      <c r="AA29" s="774"/>
      <c r="AB29" s="774"/>
      <c r="AC29" s="774"/>
      <c r="AD29" s="774"/>
      <c r="AE29" s="775"/>
      <c r="AF29" s="775"/>
      <c r="AG29" s="339"/>
      <c r="AH29" s="339"/>
      <c r="AI29" s="339"/>
    </row>
    <row r="30" spans="1:35" s="337" customFormat="1" ht="15" customHeight="1">
      <c r="A30" s="419" t="s">
        <v>248</v>
      </c>
      <c r="B30" s="74" t="s">
        <v>662</v>
      </c>
      <c r="C30" s="773">
        <f t="shared" si="0"/>
        <v>3280522</v>
      </c>
      <c r="D30" s="773">
        <f t="shared" si="1"/>
        <v>3469410</v>
      </c>
      <c r="E30" s="776"/>
      <c r="F30" s="776"/>
      <c r="G30" s="776"/>
      <c r="H30" s="776"/>
      <c r="I30" s="990">
        <v>3280522</v>
      </c>
      <c r="J30" s="990">
        <f>3280522+61888+127000</f>
        <v>3469410</v>
      </c>
      <c r="K30" s="776"/>
      <c r="L30" s="776"/>
      <c r="M30" s="778"/>
      <c r="N30" s="778"/>
      <c r="O30" s="776"/>
      <c r="P30" s="776"/>
      <c r="Q30" s="778"/>
      <c r="R30" s="778"/>
      <c r="S30" s="776"/>
      <c r="T30" s="776"/>
      <c r="U30" s="776"/>
      <c r="V30" s="776"/>
      <c r="W30" s="776"/>
      <c r="X30" s="776"/>
      <c r="Y30" s="776"/>
      <c r="Z30" s="776"/>
      <c r="AA30" s="774"/>
      <c r="AB30" s="774"/>
      <c r="AC30" s="774"/>
      <c r="AD30" s="774"/>
      <c r="AE30" s="775"/>
      <c r="AF30" s="775"/>
      <c r="AG30" s="339"/>
      <c r="AH30" s="339"/>
      <c r="AI30" s="339"/>
    </row>
    <row r="31" spans="1:35" s="337" customFormat="1" ht="15" customHeight="1">
      <c r="A31" s="419" t="s">
        <v>248</v>
      </c>
      <c r="B31" s="108" t="s">
        <v>638</v>
      </c>
      <c r="C31" s="773">
        <f t="shared" si="0"/>
        <v>6832300</v>
      </c>
      <c r="D31" s="773">
        <f t="shared" si="1"/>
        <v>6832300</v>
      </c>
      <c r="E31" s="776">
        <v>4024000</v>
      </c>
      <c r="F31" s="776">
        <v>4024000</v>
      </c>
      <c r="G31" s="776">
        <v>538120</v>
      </c>
      <c r="H31" s="776">
        <v>538120</v>
      </c>
      <c r="I31" s="778">
        <v>2270180</v>
      </c>
      <c r="J31" s="778">
        <v>2270180</v>
      </c>
      <c r="K31" s="776"/>
      <c r="L31" s="776"/>
      <c r="M31" s="778"/>
      <c r="N31" s="778"/>
      <c r="O31" s="776"/>
      <c r="P31" s="776"/>
      <c r="Q31" s="778"/>
      <c r="R31" s="778"/>
      <c r="S31" s="776"/>
      <c r="T31" s="776"/>
      <c r="U31" s="776"/>
      <c r="V31" s="776"/>
      <c r="W31" s="776"/>
      <c r="X31" s="776"/>
      <c r="Y31" s="776"/>
      <c r="Z31" s="776"/>
      <c r="AA31" s="774"/>
      <c r="AB31" s="774"/>
      <c r="AC31" s="774"/>
      <c r="AD31" s="774"/>
      <c r="AE31" s="775"/>
      <c r="AF31" s="775"/>
      <c r="AG31" s="339"/>
      <c r="AH31" s="339"/>
      <c r="AI31" s="339"/>
    </row>
    <row r="32" spans="1:35" s="337" customFormat="1" ht="15" customHeight="1">
      <c r="A32" s="417" t="s">
        <v>248</v>
      </c>
      <c r="B32" s="420" t="s">
        <v>7</v>
      </c>
      <c r="C32" s="773">
        <f t="shared" si="0"/>
        <v>42583153</v>
      </c>
      <c r="D32" s="773">
        <f t="shared" si="1"/>
        <v>45753589</v>
      </c>
      <c r="E32" s="776">
        <v>19542564</v>
      </c>
      <c r="F32" s="776">
        <v>19542564</v>
      </c>
      <c r="G32" s="776">
        <v>2615533</v>
      </c>
      <c r="H32" s="776">
        <v>2615533</v>
      </c>
      <c r="I32" s="778">
        <v>17148456</v>
      </c>
      <c r="J32" s="778">
        <f>17148456+635000</f>
        <v>17783456</v>
      </c>
      <c r="K32" s="776"/>
      <c r="L32" s="776"/>
      <c r="M32" s="778"/>
      <c r="N32" s="778"/>
      <c r="O32" s="776"/>
      <c r="P32" s="776"/>
      <c r="Q32" s="778">
        <v>2540000</v>
      </c>
      <c r="R32" s="778">
        <v>2540000</v>
      </c>
      <c r="S32" s="776">
        <v>736600</v>
      </c>
      <c r="T32" s="776">
        <v>736600</v>
      </c>
      <c r="U32" s="776"/>
      <c r="V32" s="776">
        <v>2535436</v>
      </c>
      <c r="W32" s="776"/>
      <c r="X32" s="776"/>
      <c r="Y32" s="776"/>
      <c r="Z32" s="776"/>
      <c r="AA32" s="774"/>
      <c r="AB32" s="774"/>
      <c r="AC32" s="774"/>
      <c r="AD32" s="774"/>
      <c r="AE32" s="775"/>
      <c r="AF32" s="775"/>
      <c r="AG32" s="339"/>
      <c r="AH32" s="339"/>
      <c r="AI32" s="339"/>
    </row>
    <row r="33" spans="1:35" s="337" customFormat="1" ht="15" customHeight="1">
      <c r="A33" s="419" t="s">
        <v>248</v>
      </c>
      <c r="B33" s="108" t="s">
        <v>523</v>
      </c>
      <c r="C33" s="773">
        <f t="shared" si="0"/>
        <v>2057004</v>
      </c>
      <c r="D33" s="773">
        <f t="shared" si="1"/>
        <v>2625280</v>
      </c>
      <c r="E33" s="776"/>
      <c r="F33" s="776"/>
      <c r="G33" s="776"/>
      <c r="H33" s="776"/>
      <c r="I33" s="778">
        <v>2057004</v>
      </c>
      <c r="J33" s="778">
        <f>2057004+568276</f>
        <v>2625280</v>
      </c>
      <c r="K33" s="776"/>
      <c r="L33" s="776"/>
      <c r="M33" s="778"/>
      <c r="N33" s="778"/>
      <c r="O33" s="776"/>
      <c r="P33" s="776"/>
      <c r="Q33" s="778"/>
      <c r="R33" s="778"/>
      <c r="S33" s="776"/>
      <c r="T33" s="776"/>
      <c r="U33" s="776"/>
      <c r="V33" s="776"/>
      <c r="W33" s="776"/>
      <c r="X33" s="776"/>
      <c r="Y33" s="776"/>
      <c r="Z33" s="776"/>
      <c r="AA33" s="774"/>
      <c r="AB33" s="774"/>
      <c r="AC33" s="774"/>
      <c r="AD33" s="774"/>
      <c r="AE33" s="775"/>
      <c r="AF33" s="775"/>
      <c r="AG33" s="339"/>
      <c r="AH33" s="339"/>
      <c r="AI33" s="339"/>
    </row>
    <row r="34" spans="1:35" s="337" customFormat="1" ht="15" customHeight="1">
      <c r="A34" s="422" t="s">
        <v>248</v>
      </c>
      <c r="B34" s="108" t="s">
        <v>525</v>
      </c>
      <c r="C34" s="773">
        <f t="shared" si="0"/>
        <v>4869168</v>
      </c>
      <c r="D34" s="773">
        <f t="shared" si="1"/>
        <v>4869174</v>
      </c>
      <c r="E34" s="776"/>
      <c r="F34" s="776"/>
      <c r="G34" s="776"/>
      <c r="H34" s="776"/>
      <c r="I34" s="778">
        <v>4869168</v>
      </c>
      <c r="J34" s="778">
        <f>4869168-55669</f>
        <v>4813499</v>
      </c>
      <c r="K34" s="776"/>
      <c r="L34" s="776"/>
      <c r="M34" s="778"/>
      <c r="N34" s="778"/>
      <c r="O34" s="776"/>
      <c r="P34" s="776"/>
      <c r="Q34" s="778"/>
      <c r="R34" s="778">
        <v>55675</v>
      </c>
      <c r="S34" s="776"/>
      <c r="T34" s="776"/>
      <c r="U34" s="776"/>
      <c r="V34" s="778"/>
      <c r="W34" s="776"/>
      <c r="X34" s="776"/>
      <c r="Y34" s="776"/>
      <c r="Z34" s="776"/>
      <c r="AA34" s="774"/>
      <c r="AB34" s="774"/>
      <c r="AC34" s="774"/>
      <c r="AD34" s="774"/>
      <c r="AE34" s="775"/>
      <c r="AF34" s="775"/>
      <c r="AG34" s="339"/>
      <c r="AH34" s="339"/>
      <c r="AI34" s="339"/>
    </row>
    <row r="35" spans="1:35" s="337" customFormat="1" ht="15" customHeight="1">
      <c r="A35" s="419" t="s">
        <v>248</v>
      </c>
      <c r="B35" s="420" t="s">
        <v>8</v>
      </c>
      <c r="C35" s="773">
        <f t="shared" si="0"/>
        <v>26954496</v>
      </c>
      <c r="D35" s="773">
        <f t="shared" si="1"/>
        <v>26954496</v>
      </c>
      <c r="E35" s="776">
        <v>961500</v>
      </c>
      <c r="F35" s="776">
        <v>961500</v>
      </c>
      <c r="G35" s="776">
        <v>124995</v>
      </c>
      <c r="H35" s="776">
        <v>124995</v>
      </c>
      <c r="I35" s="778">
        <v>3810000</v>
      </c>
      <c r="J35" s="778">
        <v>3810000</v>
      </c>
      <c r="K35" s="776">
        <v>200000</v>
      </c>
      <c r="L35" s="776">
        <v>200000</v>
      </c>
      <c r="M35" s="778"/>
      <c r="N35" s="778"/>
      <c r="O35" s="776"/>
      <c r="P35" s="776"/>
      <c r="Q35" s="778">
        <v>18318000</v>
      </c>
      <c r="R35" s="778">
        <v>18318000</v>
      </c>
      <c r="S35" s="776">
        <v>3540001</v>
      </c>
      <c r="T35" s="776">
        <v>3540001</v>
      </c>
      <c r="U35" s="776"/>
      <c r="V35" s="778"/>
      <c r="W35" s="776"/>
      <c r="X35" s="776"/>
      <c r="Y35" s="776"/>
      <c r="Z35" s="776"/>
      <c r="AA35" s="774"/>
      <c r="AB35" s="774"/>
      <c r="AC35" s="774"/>
      <c r="AD35" s="774"/>
      <c r="AE35" s="775"/>
      <c r="AF35" s="775"/>
      <c r="AG35" s="339"/>
      <c r="AH35" s="339"/>
      <c r="AI35" s="339"/>
    </row>
    <row r="36" spans="1:35" s="339" customFormat="1" ht="15" customHeight="1">
      <c r="A36" s="419" t="s">
        <v>377</v>
      </c>
      <c r="B36" s="108" t="s">
        <v>524</v>
      </c>
      <c r="C36" s="773">
        <f t="shared" si="0"/>
        <v>7550000</v>
      </c>
      <c r="D36" s="773">
        <f t="shared" si="1"/>
        <v>8599450</v>
      </c>
      <c r="E36" s="774"/>
      <c r="F36" s="774"/>
      <c r="G36" s="774"/>
      <c r="H36" s="774"/>
      <c r="I36" s="779"/>
      <c r="J36" s="779">
        <v>600000</v>
      </c>
      <c r="K36" s="774">
        <v>7550000</v>
      </c>
      <c r="L36" s="774">
        <f>7550000+300000+149450</f>
        <v>7999450</v>
      </c>
      <c r="M36" s="779"/>
      <c r="N36" s="779"/>
      <c r="O36" s="774"/>
      <c r="P36" s="774"/>
      <c r="Q36" s="779"/>
      <c r="R36" s="779"/>
      <c r="S36" s="774"/>
      <c r="T36" s="779"/>
      <c r="U36" s="774"/>
      <c r="V36" s="774"/>
      <c r="W36" s="774"/>
      <c r="X36" s="774"/>
      <c r="Y36" s="774"/>
      <c r="Z36" s="774"/>
      <c r="AA36" s="774"/>
      <c r="AB36" s="774"/>
      <c r="AC36" s="774"/>
      <c r="AD36" s="774"/>
      <c r="AE36" s="775"/>
      <c r="AF36" s="775"/>
    </row>
    <row r="37" spans="1:35" s="337" customFormat="1" ht="15" customHeight="1">
      <c r="A37" s="422" t="s">
        <v>248</v>
      </c>
      <c r="B37" s="108" t="s">
        <v>528</v>
      </c>
      <c r="C37" s="773">
        <f t="shared" si="0"/>
        <v>428220</v>
      </c>
      <c r="D37" s="773">
        <f t="shared" si="1"/>
        <v>428220</v>
      </c>
      <c r="E37" s="776"/>
      <c r="F37" s="776"/>
      <c r="G37" s="776"/>
      <c r="H37" s="776"/>
      <c r="I37" s="778">
        <v>178220</v>
      </c>
      <c r="J37" s="778">
        <v>178220</v>
      </c>
      <c r="K37" s="776">
        <v>250000</v>
      </c>
      <c r="L37" s="776">
        <v>250000</v>
      </c>
      <c r="M37" s="778"/>
      <c r="N37" s="778"/>
      <c r="O37" s="776"/>
      <c r="P37" s="776"/>
      <c r="Q37" s="778"/>
      <c r="R37" s="778"/>
      <c r="S37" s="776"/>
      <c r="T37" s="776"/>
      <c r="U37" s="776"/>
      <c r="V37" s="778"/>
      <c r="W37" s="776"/>
      <c r="X37" s="776"/>
      <c r="Y37" s="776"/>
      <c r="Z37" s="776"/>
      <c r="AA37" s="774"/>
      <c r="AB37" s="774"/>
      <c r="AC37" s="774"/>
      <c r="AD37" s="774"/>
      <c r="AE37" s="775"/>
      <c r="AF37" s="775"/>
      <c r="AG37" s="339"/>
      <c r="AH37" s="339"/>
      <c r="AI37" s="339"/>
    </row>
    <row r="38" spans="1:35" s="337" customFormat="1" ht="15" hidden="1" customHeight="1">
      <c r="A38" s="419" t="s">
        <v>377</v>
      </c>
      <c r="B38" s="420" t="s">
        <v>287</v>
      </c>
      <c r="C38" s="773">
        <f t="shared" si="0"/>
        <v>0</v>
      </c>
      <c r="D38" s="773">
        <f t="shared" si="1"/>
        <v>0</v>
      </c>
      <c r="E38" s="776"/>
      <c r="F38" s="776"/>
      <c r="G38" s="776"/>
      <c r="H38" s="776"/>
      <c r="I38" s="778"/>
      <c r="J38" s="778"/>
      <c r="K38" s="776"/>
      <c r="L38" s="776"/>
      <c r="M38" s="778"/>
      <c r="N38" s="778"/>
      <c r="O38" s="776"/>
      <c r="P38" s="776"/>
      <c r="Q38" s="778"/>
      <c r="R38" s="778"/>
      <c r="S38" s="776"/>
      <c r="T38" s="776"/>
      <c r="U38" s="776"/>
      <c r="V38" s="778"/>
      <c r="W38" s="776"/>
      <c r="X38" s="776"/>
      <c r="Y38" s="776"/>
      <c r="Z38" s="776"/>
      <c r="AA38" s="774"/>
      <c r="AB38" s="774"/>
      <c r="AC38" s="774"/>
      <c r="AD38" s="774"/>
      <c r="AE38" s="775"/>
      <c r="AF38" s="775"/>
      <c r="AG38" s="339"/>
      <c r="AH38" s="339"/>
      <c r="AI38" s="339"/>
    </row>
    <row r="39" spans="1:35" s="337" customFormat="1" ht="15" customHeight="1">
      <c r="A39" s="419" t="s">
        <v>248</v>
      </c>
      <c r="B39" s="420" t="s">
        <v>288</v>
      </c>
      <c r="C39" s="773">
        <f t="shared" si="0"/>
        <v>317500</v>
      </c>
      <c r="D39" s="773">
        <f t="shared" si="1"/>
        <v>317500</v>
      </c>
      <c r="E39" s="776"/>
      <c r="F39" s="776"/>
      <c r="G39" s="776"/>
      <c r="H39" s="776"/>
      <c r="I39" s="778">
        <v>317500</v>
      </c>
      <c r="J39" s="778">
        <v>317500</v>
      </c>
      <c r="K39" s="776"/>
      <c r="L39" s="776"/>
      <c r="M39" s="778"/>
      <c r="N39" s="778"/>
      <c r="O39" s="776"/>
      <c r="P39" s="776"/>
      <c r="Q39" s="778"/>
      <c r="R39" s="778"/>
      <c r="S39" s="776"/>
      <c r="T39" s="776"/>
      <c r="U39" s="776"/>
      <c r="V39" s="778"/>
      <c r="W39" s="776"/>
      <c r="X39" s="776"/>
      <c r="Y39" s="776"/>
      <c r="Z39" s="776"/>
      <c r="AA39" s="774"/>
      <c r="AB39" s="774"/>
      <c r="AC39" s="774"/>
      <c r="AD39" s="774"/>
      <c r="AE39" s="775"/>
      <c r="AF39" s="775"/>
      <c r="AG39" s="339"/>
      <c r="AH39" s="339"/>
      <c r="AI39" s="339"/>
    </row>
    <row r="40" spans="1:35" s="337" customFormat="1" ht="15" customHeight="1">
      <c r="A40" s="422" t="s">
        <v>248</v>
      </c>
      <c r="B40" s="412" t="s">
        <v>529</v>
      </c>
      <c r="C40" s="773">
        <f t="shared" si="0"/>
        <v>11714500</v>
      </c>
      <c r="D40" s="773">
        <f>F40+H40+J40+L40+N40+P40+R40+T40+V40+X40+Z40+AB40+AD40</f>
        <v>11714500</v>
      </c>
      <c r="E40" s="776"/>
      <c r="F40" s="776"/>
      <c r="G40" s="776"/>
      <c r="H40" s="776"/>
      <c r="I40" s="778">
        <v>1714500</v>
      </c>
      <c r="J40" s="778">
        <v>1714500</v>
      </c>
      <c r="K40" s="776"/>
      <c r="L40" s="776"/>
      <c r="M40" s="778"/>
      <c r="N40" s="778"/>
      <c r="O40" s="776"/>
      <c r="P40" s="776"/>
      <c r="Q40" s="778">
        <v>10000000</v>
      </c>
      <c r="R40" s="778">
        <v>10000000</v>
      </c>
      <c r="S40" s="776"/>
      <c r="T40" s="776"/>
      <c r="U40" s="776"/>
      <c r="V40" s="778"/>
      <c r="W40" s="776"/>
      <c r="X40" s="776"/>
      <c r="Y40" s="776"/>
      <c r="Z40" s="776"/>
      <c r="AA40" s="774"/>
      <c r="AB40" s="774"/>
      <c r="AC40" s="774"/>
      <c r="AD40" s="774"/>
      <c r="AE40" s="775"/>
      <c r="AF40" s="775"/>
      <c r="AG40" s="339"/>
      <c r="AH40" s="339"/>
      <c r="AI40" s="339"/>
    </row>
    <row r="41" spans="1:35" s="337" customFormat="1" ht="15" customHeight="1">
      <c r="A41" s="422" t="s">
        <v>248</v>
      </c>
      <c r="B41" s="412" t="s">
        <v>664</v>
      </c>
      <c r="C41" s="773">
        <f t="shared" si="0"/>
        <v>4660900</v>
      </c>
      <c r="D41" s="773">
        <f t="shared" si="1"/>
        <v>4851400</v>
      </c>
      <c r="E41" s="776"/>
      <c r="F41" s="776"/>
      <c r="G41" s="776"/>
      <c r="H41" s="776"/>
      <c r="I41" s="778">
        <v>4660900</v>
      </c>
      <c r="J41" s="778">
        <f>4660900+190500</f>
        <v>4851400</v>
      </c>
      <c r="K41" s="776"/>
      <c r="L41" s="776"/>
      <c r="M41" s="778"/>
      <c r="N41" s="778"/>
      <c r="O41" s="776"/>
      <c r="P41" s="776"/>
      <c r="Q41" s="778"/>
      <c r="R41" s="778"/>
      <c r="S41" s="776"/>
      <c r="T41" s="776"/>
      <c r="U41" s="776"/>
      <c r="V41" s="778"/>
      <c r="W41" s="776"/>
      <c r="X41" s="776"/>
      <c r="Y41" s="776"/>
      <c r="Z41" s="776"/>
      <c r="AA41" s="774"/>
      <c r="AB41" s="774"/>
      <c r="AC41" s="774"/>
      <c r="AD41" s="774"/>
      <c r="AE41" s="775"/>
      <c r="AF41" s="775"/>
      <c r="AG41" s="339"/>
      <c r="AH41" s="339"/>
      <c r="AI41" s="339"/>
    </row>
    <row r="42" spans="1:35" s="337" customFormat="1" ht="15" hidden="1" customHeight="1">
      <c r="A42" s="419" t="s">
        <v>248</v>
      </c>
      <c r="B42" s="416"/>
      <c r="C42" s="773">
        <f t="shared" si="0"/>
        <v>0</v>
      </c>
      <c r="D42" s="773">
        <f>F42+H42+J42+L42+N42+P42+R42+T42+V42+X42+Z42+AB42+AD42</f>
        <v>0</v>
      </c>
      <c r="E42" s="776"/>
      <c r="F42" s="776"/>
      <c r="G42" s="776"/>
      <c r="H42" s="776"/>
      <c r="I42" s="778"/>
      <c r="J42" s="778"/>
      <c r="K42" s="776"/>
      <c r="L42" s="776"/>
      <c r="M42" s="778"/>
      <c r="N42" s="778"/>
      <c r="O42" s="776"/>
      <c r="P42" s="776"/>
      <c r="Q42" s="776"/>
      <c r="R42" s="776"/>
      <c r="S42" s="776"/>
      <c r="T42" s="776"/>
      <c r="U42" s="776"/>
      <c r="V42" s="778"/>
      <c r="W42" s="776"/>
      <c r="X42" s="776"/>
      <c r="Y42" s="776"/>
      <c r="Z42" s="776"/>
      <c r="AA42" s="774"/>
      <c r="AB42" s="774"/>
      <c r="AC42" s="774"/>
      <c r="AD42" s="774"/>
      <c r="AE42" s="775"/>
      <c r="AF42" s="775"/>
      <c r="AG42" s="339"/>
      <c r="AH42" s="339"/>
      <c r="AI42" s="339"/>
    </row>
    <row r="43" spans="1:35" s="337" customFormat="1" ht="15" customHeight="1">
      <c r="A43" s="419" t="s">
        <v>248</v>
      </c>
      <c r="B43" s="420" t="s">
        <v>128</v>
      </c>
      <c r="C43" s="773">
        <f t="shared" si="0"/>
        <v>35030124</v>
      </c>
      <c r="D43" s="773">
        <f t="shared" si="1"/>
        <v>35030124</v>
      </c>
      <c r="E43" s="776">
        <v>10148800</v>
      </c>
      <c r="F43" s="776">
        <v>10148800</v>
      </c>
      <c r="G43" s="776">
        <v>1303700</v>
      </c>
      <c r="H43" s="776">
        <v>1303700</v>
      </c>
      <c r="I43" s="778">
        <v>23577624</v>
      </c>
      <c r="J43" s="778">
        <v>23577624</v>
      </c>
      <c r="K43" s="776"/>
      <c r="L43" s="776"/>
      <c r="M43" s="778"/>
      <c r="N43" s="778"/>
      <c r="O43" s="776"/>
      <c r="P43" s="776"/>
      <c r="Q43" s="776"/>
      <c r="R43" s="776"/>
      <c r="S43" s="776"/>
      <c r="T43" s="776"/>
      <c r="U43" s="776"/>
      <c r="V43" s="778"/>
      <c r="W43" s="776"/>
      <c r="X43" s="776"/>
      <c r="Y43" s="776"/>
      <c r="Z43" s="776"/>
      <c r="AA43" s="774"/>
      <c r="AB43" s="774"/>
      <c r="AC43" s="774"/>
      <c r="AD43" s="774"/>
      <c r="AE43" s="775"/>
      <c r="AF43" s="775"/>
      <c r="AG43" s="339"/>
      <c r="AH43" s="339"/>
      <c r="AI43" s="339"/>
    </row>
    <row r="44" spans="1:35" s="337" customFormat="1" ht="15" customHeight="1">
      <c r="A44" s="419" t="s">
        <v>248</v>
      </c>
      <c r="B44" s="420" t="s">
        <v>9</v>
      </c>
      <c r="C44" s="773">
        <f t="shared" si="0"/>
        <v>7964700</v>
      </c>
      <c r="D44" s="773">
        <f t="shared" si="1"/>
        <v>7964700</v>
      </c>
      <c r="E44" s="776"/>
      <c r="F44" s="776"/>
      <c r="G44" s="776"/>
      <c r="H44" s="776"/>
      <c r="I44" s="778"/>
      <c r="J44" s="778"/>
      <c r="K44" s="776"/>
      <c r="L44" s="776"/>
      <c r="M44" s="778">
        <v>7964700</v>
      </c>
      <c r="N44" s="778">
        <v>7964700</v>
      </c>
      <c r="O44" s="776"/>
      <c r="P44" s="776"/>
      <c r="Q44" s="776"/>
      <c r="R44" s="776"/>
      <c r="S44" s="776"/>
      <c r="T44" s="776"/>
      <c r="U44" s="776"/>
      <c r="V44" s="778"/>
      <c r="W44" s="776"/>
      <c r="X44" s="776"/>
      <c r="Y44" s="776"/>
      <c r="Z44" s="776"/>
      <c r="AA44" s="774"/>
      <c r="AB44" s="774"/>
      <c r="AC44" s="774"/>
      <c r="AD44" s="774"/>
      <c r="AE44" s="775"/>
      <c r="AF44" s="775"/>
      <c r="AG44" s="339"/>
      <c r="AH44" s="339"/>
      <c r="AI44" s="339"/>
    </row>
    <row r="45" spans="1:35" s="337" customFormat="1" ht="15" customHeight="1">
      <c r="A45" s="422" t="s">
        <v>377</v>
      </c>
      <c r="B45" s="420" t="s">
        <v>9</v>
      </c>
      <c r="C45" s="773">
        <f t="shared" ref="C45:D49" si="2">E45+G45+I45+K45+M45+O45+Q45+S45+U45+W45+Y45+AA45+AC45</f>
        <v>14850000</v>
      </c>
      <c r="D45" s="773">
        <f t="shared" si="2"/>
        <v>14850000</v>
      </c>
      <c r="E45" s="776"/>
      <c r="F45" s="776"/>
      <c r="G45" s="776"/>
      <c r="H45" s="776"/>
      <c r="I45" s="778">
        <v>13100000</v>
      </c>
      <c r="J45" s="778">
        <v>13100000</v>
      </c>
      <c r="K45" s="776">
        <v>1750000</v>
      </c>
      <c r="L45" s="776">
        <v>1750000</v>
      </c>
      <c r="M45" s="778"/>
      <c r="N45" s="778"/>
      <c r="O45" s="776"/>
      <c r="P45" s="776"/>
      <c r="Q45" s="776"/>
      <c r="R45" s="776"/>
      <c r="S45" s="776"/>
      <c r="T45" s="776"/>
      <c r="U45" s="776"/>
      <c r="V45" s="778"/>
      <c r="W45" s="776"/>
      <c r="X45" s="776"/>
      <c r="Y45" s="776"/>
      <c r="Z45" s="776"/>
      <c r="AA45" s="774"/>
      <c r="AB45" s="774"/>
      <c r="AC45" s="774"/>
      <c r="AD45" s="774"/>
      <c r="AE45" s="775"/>
      <c r="AF45" s="775"/>
      <c r="AG45" s="339"/>
      <c r="AH45" s="339"/>
      <c r="AI45" s="339"/>
    </row>
    <row r="46" spans="1:35" s="337" customFormat="1" ht="15" customHeight="1">
      <c r="A46" s="422" t="s">
        <v>377</v>
      </c>
      <c r="B46" s="412" t="s">
        <v>489</v>
      </c>
      <c r="C46" s="773">
        <f t="shared" si="2"/>
        <v>43700000</v>
      </c>
      <c r="D46" s="773">
        <f t="shared" si="2"/>
        <v>43700000</v>
      </c>
      <c r="E46" s="776"/>
      <c r="F46" s="776"/>
      <c r="G46" s="776"/>
      <c r="H46" s="776"/>
      <c r="I46" s="778"/>
      <c r="J46" s="778"/>
      <c r="K46" s="776"/>
      <c r="L46" s="776"/>
      <c r="M46" s="778"/>
      <c r="N46" s="778"/>
      <c r="O46" s="776"/>
      <c r="P46" s="776"/>
      <c r="Q46" s="776">
        <v>43700000</v>
      </c>
      <c r="R46" s="776">
        <v>43700000</v>
      </c>
      <c r="S46" s="776"/>
      <c r="T46" s="776"/>
      <c r="U46" s="776"/>
      <c r="V46" s="778"/>
      <c r="W46" s="776"/>
      <c r="X46" s="776"/>
      <c r="Y46" s="776"/>
      <c r="Z46" s="776"/>
      <c r="AA46" s="774"/>
      <c r="AB46" s="774"/>
      <c r="AC46" s="774"/>
      <c r="AD46" s="774"/>
      <c r="AE46" s="775"/>
      <c r="AF46" s="775"/>
      <c r="AG46" s="339"/>
      <c r="AH46" s="339"/>
      <c r="AI46" s="339"/>
    </row>
    <row r="47" spans="1:35" s="337" customFormat="1" ht="15" customHeight="1">
      <c r="A47" s="422" t="s">
        <v>248</v>
      </c>
      <c r="B47" s="412" t="s">
        <v>876</v>
      </c>
      <c r="C47" s="773">
        <f t="shared" si="2"/>
        <v>384000</v>
      </c>
      <c r="D47" s="773">
        <f t="shared" si="2"/>
        <v>384000</v>
      </c>
      <c r="E47" s="776"/>
      <c r="F47" s="776"/>
      <c r="G47" s="776"/>
      <c r="H47" s="776"/>
      <c r="I47" s="778">
        <v>384000</v>
      </c>
      <c r="J47" s="778">
        <v>384000</v>
      </c>
      <c r="K47" s="776"/>
      <c r="L47" s="778"/>
      <c r="M47" s="778"/>
      <c r="N47" s="778"/>
      <c r="O47" s="776"/>
      <c r="P47" s="776"/>
      <c r="Q47" s="776"/>
      <c r="R47" s="776"/>
      <c r="S47" s="776"/>
      <c r="T47" s="776"/>
      <c r="U47" s="776"/>
      <c r="V47" s="778"/>
      <c r="W47" s="776"/>
      <c r="X47" s="776"/>
      <c r="Y47" s="776"/>
      <c r="Z47" s="776"/>
      <c r="AA47" s="774"/>
      <c r="AB47" s="774"/>
      <c r="AC47" s="774"/>
      <c r="AD47" s="774"/>
      <c r="AE47" s="775"/>
      <c r="AF47" s="775"/>
      <c r="AG47" s="339"/>
      <c r="AH47" s="339"/>
      <c r="AI47" s="339"/>
    </row>
    <row r="48" spans="1:35" s="337" customFormat="1" ht="15" customHeight="1">
      <c r="A48" s="422" t="s">
        <v>248</v>
      </c>
      <c r="B48" s="412" t="s">
        <v>445</v>
      </c>
      <c r="C48" s="773">
        <f t="shared" si="2"/>
        <v>762000</v>
      </c>
      <c r="D48" s="773">
        <f t="shared" si="2"/>
        <v>762000</v>
      </c>
      <c r="E48" s="776"/>
      <c r="F48" s="776"/>
      <c r="G48" s="776"/>
      <c r="H48" s="776"/>
      <c r="I48" s="778">
        <v>762000</v>
      </c>
      <c r="J48" s="778">
        <v>762000</v>
      </c>
      <c r="K48" s="776"/>
      <c r="L48" s="778"/>
      <c r="M48" s="778"/>
      <c r="N48" s="778"/>
      <c r="O48" s="776"/>
      <c r="P48" s="776"/>
      <c r="Q48" s="776"/>
      <c r="R48" s="776"/>
      <c r="S48" s="776"/>
      <c r="T48" s="776"/>
      <c r="U48" s="776"/>
      <c r="V48" s="778"/>
      <c r="W48" s="776"/>
      <c r="X48" s="776"/>
      <c r="Y48" s="776"/>
      <c r="Z48" s="776"/>
      <c r="AA48" s="774"/>
      <c r="AB48" s="774"/>
      <c r="AC48" s="774"/>
      <c r="AD48" s="774"/>
      <c r="AE48" s="775"/>
      <c r="AF48" s="775"/>
      <c r="AG48" s="339"/>
      <c r="AH48" s="339"/>
      <c r="AI48" s="339"/>
    </row>
    <row r="49" spans="1:35" s="337" customFormat="1" ht="15" customHeight="1">
      <c r="A49" s="422" t="s">
        <v>248</v>
      </c>
      <c r="B49" s="417" t="s">
        <v>769</v>
      </c>
      <c r="C49" s="773">
        <f t="shared" si="2"/>
        <v>1384300</v>
      </c>
      <c r="D49" s="773">
        <f t="shared" si="2"/>
        <v>1384300</v>
      </c>
      <c r="E49" s="776"/>
      <c r="F49" s="776"/>
      <c r="G49" s="776"/>
      <c r="H49" s="776"/>
      <c r="I49" s="778">
        <v>1384300</v>
      </c>
      <c r="J49" s="778">
        <v>1384300</v>
      </c>
      <c r="K49" s="776"/>
      <c r="L49" s="778"/>
      <c r="M49" s="778"/>
      <c r="N49" s="778"/>
      <c r="O49" s="776"/>
      <c r="P49" s="776"/>
      <c r="Q49" s="776"/>
      <c r="R49" s="776"/>
      <c r="S49" s="776"/>
      <c r="T49" s="776"/>
      <c r="U49" s="776"/>
      <c r="V49" s="778"/>
      <c r="W49" s="776"/>
      <c r="X49" s="776"/>
      <c r="Y49" s="776"/>
      <c r="Z49" s="776"/>
      <c r="AA49" s="774"/>
      <c r="AB49" s="774"/>
      <c r="AC49" s="774"/>
      <c r="AD49" s="774"/>
      <c r="AE49" s="775"/>
      <c r="AF49" s="775"/>
      <c r="AG49" s="339"/>
      <c r="AH49" s="339"/>
      <c r="AI49" s="339"/>
    </row>
    <row r="50" spans="1:35" s="337" customFormat="1" ht="15" customHeight="1">
      <c r="A50" s="422" t="s">
        <v>248</v>
      </c>
      <c r="B50" s="108" t="s">
        <v>668</v>
      </c>
      <c r="C50" s="773">
        <f t="shared" ref="C50:C55" si="3">E50+G50+I50+K50+M50+O50+Q50+S50+U50+W50+Y50+AA50+AC50</f>
        <v>181750197</v>
      </c>
      <c r="D50" s="773">
        <f t="shared" ref="D50:D55" si="4">F50+H50+J50+L50+N50+P50+R50+T50+V50+X50+Z50+AB50+AD50</f>
        <v>189165664</v>
      </c>
      <c r="E50" s="776"/>
      <c r="F50" s="776"/>
      <c r="G50" s="776"/>
      <c r="H50" s="776"/>
      <c r="I50" s="778">
        <v>4207950</v>
      </c>
      <c r="J50" s="778">
        <f>4207950+31111373</f>
        <v>35319323</v>
      </c>
      <c r="K50" s="776"/>
      <c r="L50" s="778"/>
      <c r="M50" s="778"/>
      <c r="N50" s="778"/>
      <c r="O50" s="776"/>
      <c r="P50" s="776"/>
      <c r="Q50" s="776">
        <v>177542247</v>
      </c>
      <c r="R50" s="776">
        <f>177542247-23695906</f>
        <v>153846341</v>
      </c>
      <c r="S50" s="776"/>
      <c r="T50" s="776"/>
      <c r="U50" s="776"/>
      <c r="V50" s="778"/>
      <c r="W50" s="776"/>
      <c r="X50" s="776"/>
      <c r="Y50" s="776"/>
      <c r="Z50" s="776"/>
      <c r="AA50" s="774"/>
      <c r="AB50" s="774"/>
      <c r="AC50" s="774"/>
      <c r="AD50" s="774"/>
      <c r="AE50" s="775"/>
      <c r="AF50" s="775"/>
      <c r="AG50" s="339"/>
      <c r="AH50" s="339"/>
      <c r="AI50" s="339"/>
    </row>
    <row r="51" spans="1:35" s="337" customFormat="1" ht="15" customHeight="1">
      <c r="A51" s="422" t="s">
        <v>248</v>
      </c>
      <c r="B51" s="108" t="s">
        <v>530</v>
      </c>
      <c r="C51" s="773">
        <f t="shared" si="3"/>
        <v>40708488</v>
      </c>
      <c r="D51" s="773">
        <f t="shared" si="4"/>
        <v>40708488</v>
      </c>
      <c r="E51" s="776"/>
      <c r="F51" s="776"/>
      <c r="G51" s="776"/>
      <c r="H51" s="776"/>
      <c r="I51" s="778">
        <v>36460338</v>
      </c>
      <c r="J51" s="778">
        <v>36460338</v>
      </c>
      <c r="K51" s="776"/>
      <c r="L51" s="778"/>
      <c r="M51" s="778"/>
      <c r="N51" s="778"/>
      <c r="O51" s="776"/>
      <c r="P51" s="776"/>
      <c r="Q51" s="776"/>
      <c r="R51" s="776"/>
      <c r="S51" s="776">
        <v>4248150</v>
      </c>
      <c r="T51" s="776">
        <v>4248150</v>
      </c>
      <c r="U51" s="776"/>
      <c r="V51" s="778"/>
      <c r="W51" s="776"/>
      <c r="X51" s="776"/>
      <c r="Y51" s="776"/>
      <c r="Z51" s="776"/>
      <c r="AA51" s="774"/>
      <c r="AB51" s="774"/>
      <c r="AC51" s="774"/>
      <c r="AD51" s="774"/>
      <c r="AE51" s="775"/>
      <c r="AF51" s="775"/>
      <c r="AG51" s="339"/>
      <c r="AH51" s="339"/>
      <c r="AI51" s="339"/>
    </row>
    <row r="52" spans="1:35" s="337" customFormat="1" ht="15" customHeight="1">
      <c r="A52" s="422" t="s">
        <v>248</v>
      </c>
      <c r="B52" s="108" t="s">
        <v>667</v>
      </c>
      <c r="C52" s="773">
        <f>E52+G52+I52+K52+M52+O52+Q52+S52+U52+W52+Y52+AA52+AC52</f>
        <v>70000000</v>
      </c>
      <c r="D52" s="773">
        <f>F52+H52+J52+L52+N52+P52+R52+T52+V52+X52+Z52+AB52+AD52</f>
        <v>70000000</v>
      </c>
      <c r="E52" s="776"/>
      <c r="F52" s="776"/>
      <c r="G52" s="776"/>
      <c r="H52" s="776"/>
      <c r="I52" s="778"/>
      <c r="J52" s="778"/>
      <c r="K52" s="776"/>
      <c r="L52" s="778"/>
      <c r="M52" s="778"/>
      <c r="N52" s="778"/>
      <c r="O52" s="776"/>
      <c r="P52" s="776"/>
      <c r="Q52" s="776"/>
      <c r="R52" s="776"/>
      <c r="S52" s="776"/>
      <c r="T52" s="776"/>
      <c r="U52" s="776">
        <v>70000000</v>
      </c>
      <c r="V52" s="776">
        <v>70000000</v>
      </c>
      <c r="W52" s="776"/>
      <c r="X52" s="776"/>
      <c r="Y52" s="776"/>
      <c r="Z52" s="776"/>
      <c r="AA52" s="774"/>
      <c r="AB52" s="774"/>
      <c r="AC52" s="774"/>
      <c r="AD52" s="774"/>
      <c r="AE52" s="775"/>
      <c r="AF52" s="775"/>
      <c r="AG52" s="339"/>
      <c r="AH52" s="339"/>
      <c r="AI52" s="339"/>
    </row>
    <row r="53" spans="1:35" s="337" customFormat="1" ht="15" customHeight="1">
      <c r="A53" s="422" t="s">
        <v>248</v>
      </c>
      <c r="B53" s="108" t="s">
        <v>531</v>
      </c>
      <c r="C53" s="773">
        <f t="shared" si="3"/>
        <v>14000000</v>
      </c>
      <c r="D53" s="773">
        <f t="shared" si="4"/>
        <v>14000000</v>
      </c>
      <c r="E53" s="776"/>
      <c r="F53" s="776"/>
      <c r="G53" s="776"/>
      <c r="H53" s="776"/>
      <c r="I53" s="778">
        <v>275000</v>
      </c>
      <c r="J53" s="778">
        <v>275000</v>
      </c>
      <c r="K53" s="776"/>
      <c r="L53" s="778"/>
      <c r="M53" s="778"/>
      <c r="N53" s="778"/>
      <c r="O53" s="776"/>
      <c r="P53" s="776"/>
      <c r="Q53" s="776"/>
      <c r="R53" s="776"/>
      <c r="S53" s="776"/>
      <c r="T53" s="776"/>
      <c r="U53" s="776">
        <v>13725000</v>
      </c>
      <c r="V53" s="776">
        <v>13725000</v>
      </c>
      <c r="W53" s="776"/>
      <c r="X53" s="776"/>
      <c r="Y53" s="776"/>
      <c r="Z53" s="776"/>
      <c r="AA53" s="774"/>
      <c r="AB53" s="774"/>
      <c r="AC53" s="774"/>
      <c r="AD53" s="774"/>
      <c r="AE53" s="775"/>
      <c r="AF53" s="775"/>
      <c r="AG53" s="339"/>
      <c r="AH53" s="339"/>
      <c r="AI53" s="339"/>
    </row>
    <row r="54" spans="1:35" s="337" customFormat="1" ht="15" customHeight="1">
      <c r="A54" s="74" t="s">
        <v>618</v>
      </c>
      <c r="B54" s="108" t="s">
        <v>665</v>
      </c>
      <c r="C54" s="773">
        <f t="shared" si="3"/>
        <v>400000000</v>
      </c>
      <c r="D54" s="773">
        <f t="shared" si="4"/>
        <v>400000000</v>
      </c>
      <c r="E54" s="776"/>
      <c r="F54" s="776"/>
      <c r="G54" s="776"/>
      <c r="H54" s="776"/>
      <c r="I54" s="778">
        <v>85039370</v>
      </c>
      <c r="J54" s="778">
        <v>85039370</v>
      </c>
      <c r="K54" s="776"/>
      <c r="L54" s="778"/>
      <c r="M54" s="778"/>
      <c r="N54" s="778"/>
      <c r="O54" s="776"/>
      <c r="P54" s="776"/>
      <c r="Q54" s="776">
        <v>314960630</v>
      </c>
      <c r="R54" s="776">
        <v>314960630</v>
      </c>
      <c r="S54" s="776"/>
      <c r="T54" s="776"/>
      <c r="U54" s="776"/>
      <c r="V54" s="778"/>
      <c r="W54" s="776"/>
      <c r="X54" s="776"/>
      <c r="Y54" s="776"/>
      <c r="Z54" s="776"/>
      <c r="AA54" s="774"/>
      <c r="AB54" s="774"/>
      <c r="AC54" s="774"/>
      <c r="AD54" s="774"/>
      <c r="AE54" s="775"/>
      <c r="AF54" s="775"/>
      <c r="AG54" s="339"/>
      <c r="AH54" s="339"/>
      <c r="AI54" s="339"/>
    </row>
    <row r="55" spans="1:35" s="337" customFormat="1" ht="15" customHeight="1">
      <c r="A55" s="422" t="s">
        <v>248</v>
      </c>
      <c r="B55" s="108" t="s">
        <v>772</v>
      </c>
      <c r="C55" s="773">
        <f t="shared" si="3"/>
        <v>1576900000</v>
      </c>
      <c r="D55" s="773">
        <f t="shared" si="4"/>
        <v>1576900000</v>
      </c>
      <c r="E55" s="776"/>
      <c r="F55" s="776"/>
      <c r="G55" s="776"/>
      <c r="H55" s="776"/>
      <c r="I55" s="778"/>
      <c r="J55" s="778"/>
      <c r="K55" s="776"/>
      <c r="L55" s="778"/>
      <c r="M55" s="778"/>
      <c r="N55" s="778"/>
      <c r="O55" s="776"/>
      <c r="P55" s="776"/>
      <c r="Q55" s="776">
        <v>1576900000</v>
      </c>
      <c r="R55" s="776">
        <v>1576900000</v>
      </c>
      <c r="S55" s="776"/>
      <c r="T55" s="776"/>
      <c r="U55" s="776"/>
      <c r="V55" s="778"/>
      <c r="W55" s="776"/>
      <c r="X55" s="776"/>
      <c r="Y55" s="776"/>
      <c r="Z55" s="776"/>
      <c r="AA55" s="774"/>
      <c r="AB55" s="774"/>
      <c r="AC55" s="774"/>
      <c r="AD55" s="774"/>
      <c r="AE55" s="775"/>
      <c r="AF55" s="775"/>
      <c r="AG55" s="339"/>
      <c r="AH55" s="339"/>
      <c r="AI55" s="339"/>
    </row>
    <row r="56" spans="1:35" s="337" customFormat="1" ht="15" customHeight="1">
      <c r="A56" s="422" t="s">
        <v>248</v>
      </c>
      <c r="B56" s="108" t="s">
        <v>666</v>
      </c>
      <c r="C56" s="773">
        <f t="shared" ref="C56:C67" si="5">E56+G56+I56+K56+M56+O56+Q56+S56+U56+W56+Y56+AA56+AC56</f>
        <v>1024883470</v>
      </c>
      <c r="D56" s="773">
        <f t="shared" ref="D56:D65" si="6">F56+H56+J56+L56+N56+P56+R56+T56+V56+X56+Z56+AB56+AD56</f>
        <v>1024883470</v>
      </c>
      <c r="E56" s="776"/>
      <c r="F56" s="776"/>
      <c r="G56" s="776"/>
      <c r="H56" s="776"/>
      <c r="I56" s="778">
        <v>236079612</v>
      </c>
      <c r="J56" s="778">
        <f>236079612+12810000</f>
        <v>248889612</v>
      </c>
      <c r="K56" s="776"/>
      <c r="L56" s="778"/>
      <c r="M56" s="778"/>
      <c r="N56" s="778"/>
      <c r="O56" s="776"/>
      <c r="P56" s="776"/>
      <c r="Q56" s="776">
        <v>788803858</v>
      </c>
      <c r="R56" s="776">
        <f>788803858-12810000</f>
        <v>775993858</v>
      </c>
      <c r="S56" s="776"/>
      <c r="T56" s="776"/>
      <c r="U56" s="776"/>
      <c r="V56" s="778"/>
      <c r="W56" s="776"/>
      <c r="X56" s="776"/>
      <c r="Y56" s="776"/>
      <c r="Z56" s="776"/>
      <c r="AA56" s="774"/>
      <c r="AB56" s="774"/>
      <c r="AC56" s="774"/>
      <c r="AD56" s="774"/>
      <c r="AE56" s="775"/>
      <c r="AF56" s="775"/>
      <c r="AG56" s="339"/>
      <c r="AH56" s="339"/>
      <c r="AI56" s="339"/>
    </row>
    <row r="57" spans="1:35" s="337" customFormat="1" ht="15" customHeight="1">
      <c r="A57" s="422" t="s">
        <v>248</v>
      </c>
      <c r="B57" s="108" t="s">
        <v>639</v>
      </c>
      <c r="C57" s="773">
        <f t="shared" si="5"/>
        <v>254064694</v>
      </c>
      <c r="D57" s="773">
        <f t="shared" si="6"/>
        <v>254064694</v>
      </c>
      <c r="E57" s="776"/>
      <c r="F57" s="776"/>
      <c r="G57" s="776"/>
      <c r="H57" s="776"/>
      <c r="I57" s="778">
        <v>68915804</v>
      </c>
      <c r="J57" s="778">
        <f>68915804-634999</f>
        <v>68280805</v>
      </c>
      <c r="K57" s="776"/>
      <c r="L57" s="778"/>
      <c r="M57" s="778"/>
      <c r="N57" s="778"/>
      <c r="O57" s="776"/>
      <c r="P57" s="776"/>
      <c r="Q57" s="776"/>
      <c r="R57" s="776"/>
      <c r="S57" s="776">
        <v>185148890</v>
      </c>
      <c r="T57" s="776">
        <f>185148890-6342498</f>
        <v>178806392</v>
      </c>
      <c r="U57" s="776"/>
      <c r="V57" s="778">
        <v>6977497</v>
      </c>
      <c r="W57" s="776"/>
      <c r="X57" s="776"/>
      <c r="Y57" s="776"/>
      <c r="Z57" s="776"/>
      <c r="AA57" s="774"/>
      <c r="AB57" s="774"/>
      <c r="AC57" s="774"/>
      <c r="AD57" s="774"/>
      <c r="AE57" s="775"/>
      <c r="AF57" s="775"/>
      <c r="AG57" s="339"/>
      <c r="AH57" s="339"/>
      <c r="AI57" s="339"/>
    </row>
    <row r="58" spans="1:35" s="337" customFormat="1" ht="15" customHeight="1">
      <c r="A58" s="422" t="s">
        <v>248</v>
      </c>
      <c r="B58" s="417" t="s">
        <v>770</v>
      </c>
      <c r="C58" s="773">
        <f t="shared" si="5"/>
        <v>149992600</v>
      </c>
      <c r="D58" s="773">
        <f t="shared" si="6"/>
        <v>149992600</v>
      </c>
      <c r="E58" s="776"/>
      <c r="F58" s="776"/>
      <c r="G58" s="776"/>
      <c r="H58" s="776"/>
      <c r="I58" s="778">
        <v>508000</v>
      </c>
      <c r="J58" s="778">
        <v>508000</v>
      </c>
      <c r="K58" s="776"/>
      <c r="L58" s="778"/>
      <c r="M58" s="778"/>
      <c r="N58" s="778"/>
      <c r="O58" s="776"/>
      <c r="P58" s="776"/>
      <c r="Q58" s="776">
        <v>149484600</v>
      </c>
      <c r="R58" s="776">
        <f>149484600-5607200</f>
        <v>143877400</v>
      </c>
      <c r="S58" s="776"/>
      <c r="T58" s="776"/>
      <c r="U58" s="776"/>
      <c r="V58" s="778">
        <v>5607200</v>
      </c>
      <c r="W58" s="776"/>
      <c r="X58" s="776"/>
      <c r="Y58" s="776"/>
      <c r="Z58" s="776"/>
      <c r="AA58" s="774"/>
      <c r="AB58" s="774"/>
      <c r="AC58" s="774"/>
      <c r="AD58" s="774"/>
      <c r="AE58" s="775"/>
      <c r="AF58" s="775"/>
      <c r="AG58" s="339"/>
      <c r="AH58" s="339"/>
      <c r="AI58" s="339"/>
    </row>
    <row r="59" spans="1:35" s="337" customFormat="1" ht="15" customHeight="1">
      <c r="A59" s="422" t="s">
        <v>248</v>
      </c>
      <c r="B59" s="417" t="s">
        <v>771</v>
      </c>
      <c r="C59" s="773">
        <f t="shared" si="5"/>
        <v>228785046</v>
      </c>
      <c r="D59" s="773">
        <f t="shared" si="6"/>
        <v>228785046</v>
      </c>
      <c r="E59" s="776"/>
      <c r="F59" s="776"/>
      <c r="G59" s="776"/>
      <c r="H59" s="776"/>
      <c r="I59" s="778"/>
      <c r="J59" s="776"/>
      <c r="K59" s="776"/>
      <c r="L59" s="778"/>
      <c r="M59" s="778"/>
      <c r="N59" s="778"/>
      <c r="O59" s="776"/>
      <c r="P59" s="776"/>
      <c r="Q59" s="778">
        <v>76261683</v>
      </c>
      <c r="R59" s="778">
        <v>76261683</v>
      </c>
      <c r="S59" s="776">
        <v>152523363</v>
      </c>
      <c r="T59" s="776">
        <v>152523363</v>
      </c>
      <c r="U59" s="776"/>
      <c r="V59" s="778"/>
      <c r="W59" s="776"/>
      <c r="X59" s="776"/>
      <c r="Y59" s="776"/>
      <c r="Z59" s="776"/>
      <c r="AA59" s="774"/>
      <c r="AB59" s="774"/>
      <c r="AC59" s="774"/>
      <c r="AD59" s="774"/>
      <c r="AE59" s="775"/>
      <c r="AF59" s="775"/>
      <c r="AG59" s="339"/>
      <c r="AH59" s="339"/>
      <c r="AI59" s="339"/>
    </row>
    <row r="60" spans="1:35" s="337" customFormat="1" ht="15" customHeight="1">
      <c r="A60" s="417" t="s">
        <v>248</v>
      </c>
      <c r="B60" s="417" t="s">
        <v>875</v>
      </c>
      <c r="C60" s="773">
        <f t="shared" si="5"/>
        <v>0</v>
      </c>
      <c r="D60" s="773">
        <f t="shared" si="6"/>
        <v>2730764</v>
      </c>
      <c r="E60" s="776"/>
      <c r="F60" s="776">
        <v>1846394</v>
      </c>
      <c r="G60" s="776"/>
      <c r="H60" s="776">
        <v>244162</v>
      </c>
      <c r="I60" s="778"/>
      <c r="J60" s="776">
        <v>640208</v>
      </c>
      <c r="K60" s="776"/>
      <c r="L60" s="778"/>
      <c r="M60" s="778"/>
      <c r="N60" s="778"/>
      <c r="O60" s="776"/>
      <c r="P60" s="776"/>
      <c r="Q60" s="778"/>
      <c r="R60" s="778"/>
      <c r="S60" s="776"/>
      <c r="T60" s="776"/>
      <c r="U60" s="776"/>
      <c r="V60" s="778"/>
      <c r="W60" s="776"/>
      <c r="X60" s="776"/>
      <c r="Y60" s="776"/>
      <c r="Z60" s="776"/>
      <c r="AA60" s="774"/>
      <c r="AB60" s="774"/>
      <c r="AC60" s="774"/>
      <c r="AD60" s="774"/>
      <c r="AE60" s="775"/>
      <c r="AF60" s="775"/>
      <c r="AG60" s="339"/>
      <c r="AH60" s="339"/>
      <c r="AI60" s="339"/>
    </row>
    <row r="61" spans="1:35" s="337" customFormat="1" ht="15" hidden="1" customHeight="1">
      <c r="A61" s="421"/>
      <c r="B61" s="421"/>
      <c r="C61" s="773">
        <f t="shared" si="5"/>
        <v>0</v>
      </c>
      <c r="D61" s="773">
        <f t="shared" si="6"/>
        <v>0</v>
      </c>
      <c r="E61" s="776"/>
      <c r="F61" s="776"/>
      <c r="G61" s="776"/>
      <c r="H61" s="776"/>
      <c r="I61" s="778"/>
      <c r="J61" s="776"/>
      <c r="K61" s="776"/>
      <c r="L61" s="778"/>
      <c r="M61" s="778"/>
      <c r="N61" s="778"/>
      <c r="O61" s="776"/>
      <c r="P61" s="776"/>
      <c r="Q61" s="778"/>
      <c r="R61" s="778"/>
      <c r="S61" s="776"/>
      <c r="T61" s="776"/>
      <c r="U61" s="776"/>
      <c r="V61" s="778"/>
      <c r="W61" s="776"/>
      <c r="X61" s="776"/>
      <c r="Y61" s="776"/>
      <c r="Z61" s="776"/>
      <c r="AA61" s="774"/>
      <c r="AB61" s="774"/>
      <c r="AC61" s="774"/>
      <c r="AD61" s="774"/>
      <c r="AE61" s="775"/>
      <c r="AF61" s="775"/>
      <c r="AG61" s="339"/>
      <c r="AH61" s="339"/>
      <c r="AI61" s="339"/>
    </row>
    <row r="62" spans="1:35" s="337" customFormat="1" ht="15" hidden="1" customHeight="1">
      <c r="A62" s="422" t="s">
        <v>248</v>
      </c>
      <c r="B62" s="417"/>
      <c r="C62" s="773">
        <f t="shared" si="5"/>
        <v>0</v>
      </c>
      <c r="D62" s="773">
        <f t="shared" si="6"/>
        <v>0</v>
      </c>
      <c r="E62" s="776"/>
      <c r="F62" s="776"/>
      <c r="G62" s="776"/>
      <c r="H62" s="776"/>
      <c r="I62" s="778"/>
      <c r="J62" s="776"/>
      <c r="K62" s="776"/>
      <c r="L62" s="778"/>
      <c r="M62" s="778"/>
      <c r="N62" s="778"/>
      <c r="O62" s="776"/>
      <c r="P62" s="776"/>
      <c r="Q62" s="778"/>
      <c r="R62" s="778"/>
      <c r="S62" s="776"/>
      <c r="T62" s="776"/>
      <c r="U62" s="776"/>
      <c r="V62" s="778"/>
      <c r="W62" s="776"/>
      <c r="X62" s="776"/>
      <c r="Y62" s="776"/>
      <c r="Z62" s="776"/>
      <c r="AA62" s="774"/>
      <c r="AB62" s="774"/>
      <c r="AC62" s="774"/>
      <c r="AD62" s="774"/>
      <c r="AE62" s="775"/>
      <c r="AF62" s="775"/>
      <c r="AG62" s="339"/>
      <c r="AH62" s="339"/>
      <c r="AI62" s="339"/>
    </row>
    <row r="63" spans="1:35" s="337" customFormat="1" ht="15" hidden="1" customHeight="1">
      <c r="A63" s="422" t="s">
        <v>248</v>
      </c>
      <c r="B63" s="421"/>
      <c r="C63" s="773">
        <f t="shared" si="5"/>
        <v>0</v>
      </c>
      <c r="D63" s="773">
        <f t="shared" si="6"/>
        <v>0</v>
      </c>
      <c r="E63" s="776"/>
      <c r="F63" s="776"/>
      <c r="G63" s="776"/>
      <c r="H63" s="776"/>
      <c r="I63" s="778"/>
      <c r="J63" s="776"/>
      <c r="K63" s="776"/>
      <c r="L63" s="778"/>
      <c r="M63" s="778"/>
      <c r="N63" s="778"/>
      <c r="O63" s="776"/>
      <c r="P63" s="776"/>
      <c r="Q63" s="778"/>
      <c r="R63" s="776"/>
      <c r="S63" s="776"/>
      <c r="T63" s="776"/>
      <c r="U63" s="776"/>
      <c r="V63" s="778"/>
      <c r="W63" s="776"/>
      <c r="X63" s="776"/>
      <c r="Y63" s="776"/>
      <c r="Z63" s="776"/>
      <c r="AA63" s="774"/>
      <c r="AB63" s="774"/>
      <c r="AC63" s="774"/>
      <c r="AD63" s="774"/>
      <c r="AE63" s="775"/>
      <c r="AF63" s="775"/>
      <c r="AG63" s="339"/>
      <c r="AH63" s="339"/>
      <c r="AI63" s="339"/>
    </row>
    <row r="64" spans="1:35" s="337" customFormat="1" ht="15" customHeight="1">
      <c r="A64" s="422" t="s">
        <v>248</v>
      </c>
      <c r="B64" s="417" t="s">
        <v>874</v>
      </c>
      <c r="C64" s="773">
        <f t="shared" si="5"/>
        <v>0</v>
      </c>
      <c r="D64" s="773">
        <f t="shared" si="6"/>
        <v>13015000</v>
      </c>
      <c r="E64" s="776"/>
      <c r="F64" s="776"/>
      <c r="G64" s="776"/>
      <c r="H64" s="776"/>
      <c r="I64" s="778"/>
      <c r="J64" s="776">
        <v>13015000</v>
      </c>
      <c r="K64" s="776"/>
      <c r="L64" s="778"/>
      <c r="M64" s="778"/>
      <c r="N64" s="778"/>
      <c r="O64" s="776"/>
      <c r="P64" s="776"/>
      <c r="Q64" s="778"/>
      <c r="R64" s="776"/>
      <c r="S64" s="776"/>
      <c r="T64" s="778"/>
      <c r="U64" s="776"/>
      <c r="V64" s="778"/>
      <c r="W64" s="776"/>
      <c r="X64" s="776"/>
      <c r="Y64" s="776"/>
      <c r="Z64" s="776"/>
      <c r="AA64" s="774"/>
      <c r="AB64" s="774"/>
      <c r="AC64" s="774"/>
      <c r="AD64" s="774"/>
      <c r="AE64" s="775"/>
      <c r="AF64" s="775"/>
      <c r="AG64" s="339"/>
      <c r="AH64" s="339"/>
      <c r="AI64" s="339"/>
    </row>
    <row r="65" spans="1:35" s="337" customFormat="1" ht="15" customHeight="1">
      <c r="A65" s="415" t="s">
        <v>248</v>
      </c>
      <c r="B65" s="497" t="s">
        <v>717</v>
      </c>
      <c r="C65" s="773">
        <f t="shared" si="5"/>
        <v>100000</v>
      </c>
      <c r="D65" s="773">
        <f t="shared" si="6"/>
        <v>100000</v>
      </c>
      <c r="E65" s="776"/>
      <c r="F65" s="776"/>
      <c r="G65" s="776"/>
      <c r="H65" s="776"/>
      <c r="I65" s="778"/>
      <c r="J65" s="776"/>
      <c r="K65" s="776">
        <v>100000</v>
      </c>
      <c r="L65" s="776">
        <v>100000</v>
      </c>
      <c r="M65" s="778"/>
      <c r="N65" s="778"/>
      <c r="O65" s="776"/>
      <c r="P65" s="776"/>
      <c r="Q65" s="778"/>
      <c r="R65" s="776"/>
      <c r="S65" s="776"/>
      <c r="T65" s="778"/>
      <c r="U65" s="776"/>
      <c r="V65" s="776"/>
      <c r="W65" s="776"/>
      <c r="X65" s="776"/>
      <c r="Y65" s="776"/>
      <c r="Z65" s="776"/>
      <c r="AA65" s="774"/>
      <c r="AB65" s="774"/>
      <c r="AC65" s="774"/>
      <c r="AD65" s="774"/>
      <c r="AE65" s="775"/>
      <c r="AF65" s="775"/>
      <c r="AG65" s="339"/>
      <c r="AH65" s="339"/>
      <c r="AI65" s="339"/>
    </row>
    <row r="66" spans="1:35" s="337" customFormat="1" ht="15" customHeight="1">
      <c r="A66" s="422" t="s">
        <v>248</v>
      </c>
      <c r="B66" s="108" t="s">
        <v>550</v>
      </c>
      <c r="C66" s="773">
        <f t="shared" si="5"/>
        <v>186745398</v>
      </c>
      <c r="D66" s="773">
        <f t="shared" ref="D66:D73" si="7">F66+H66+J66+L66+N66+P66+R66+T66+V66+X66+Z66+AB66+AD66</f>
        <v>205419371</v>
      </c>
      <c r="E66" s="776"/>
      <c r="F66" s="776"/>
      <c r="G66" s="776"/>
      <c r="H66" s="776"/>
      <c r="I66" s="778"/>
      <c r="J66" s="776">
        <v>127000</v>
      </c>
      <c r="K66" s="776">
        <v>186745398</v>
      </c>
      <c r="L66" s="776">
        <f>186745398+16341643+2205330</f>
        <v>205292371</v>
      </c>
      <c r="M66" s="778"/>
      <c r="N66" s="778"/>
      <c r="O66" s="776"/>
      <c r="P66" s="776"/>
      <c r="Q66" s="776"/>
      <c r="R66" s="776"/>
      <c r="S66" s="776"/>
      <c r="T66" s="778"/>
      <c r="U66" s="776"/>
      <c r="V66" s="776"/>
      <c r="W66" s="776"/>
      <c r="X66" s="776"/>
      <c r="Y66" s="776"/>
      <c r="Z66" s="776"/>
      <c r="AA66" s="774"/>
      <c r="AB66" s="774"/>
      <c r="AC66" s="774"/>
      <c r="AD66" s="774"/>
      <c r="AE66" s="775"/>
      <c r="AF66" s="775"/>
      <c r="AG66" s="339"/>
      <c r="AH66" s="339"/>
      <c r="AI66" s="339"/>
    </row>
    <row r="67" spans="1:35" s="337" customFormat="1" ht="15" hidden="1" customHeight="1">
      <c r="A67" s="422" t="s">
        <v>248</v>
      </c>
      <c r="B67" s="108"/>
      <c r="C67" s="773">
        <f t="shared" si="5"/>
        <v>373390796</v>
      </c>
      <c r="D67" s="773">
        <f t="shared" si="7"/>
        <v>0</v>
      </c>
      <c r="E67" s="776"/>
      <c r="F67" s="776"/>
      <c r="G67" s="776"/>
      <c r="H67" s="776"/>
      <c r="I67" s="778"/>
      <c r="J67" s="776"/>
      <c r="K67" s="776">
        <v>373390796</v>
      </c>
      <c r="L67" s="776"/>
      <c r="M67" s="778"/>
      <c r="N67" s="778"/>
      <c r="O67" s="776"/>
      <c r="P67" s="776"/>
      <c r="Q67" s="776"/>
      <c r="R67" s="776"/>
      <c r="S67" s="776"/>
      <c r="T67" s="778"/>
      <c r="U67" s="776"/>
      <c r="V67" s="776"/>
      <c r="W67" s="776"/>
      <c r="X67" s="776"/>
      <c r="Y67" s="776"/>
      <c r="Z67" s="776"/>
      <c r="AA67" s="774"/>
      <c r="AB67" s="774"/>
      <c r="AC67" s="774"/>
      <c r="AD67" s="774"/>
      <c r="AE67" s="775"/>
      <c r="AF67" s="775"/>
      <c r="AG67" s="339"/>
      <c r="AH67" s="339"/>
      <c r="AI67" s="339"/>
    </row>
    <row r="68" spans="1:35" s="337" customFormat="1" ht="15" customHeight="1">
      <c r="A68" s="422" t="s">
        <v>248</v>
      </c>
      <c r="B68" s="108" t="s">
        <v>549</v>
      </c>
      <c r="C68" s="773">
        <f t="shared" ref="C68:C73" si="8">E68+G68+I68+K68+M68+O68+Q68+S68+U68+W68+Y68+AA68+AC68</f>
        <v>320825848</v>
      </c>
      <c r="D68" s="773">
        <f t="shared" si="7"/>
        <v>320825848</v>
      </c>
      <c r="E68" s="776"/>
      <c r="F68" s="776"/>
      <c r="G68" s="776"/>
      <c r="H68" s="776"/>
      <c r="I68" s="778"/>
      <c r="J68" s="776"/>
      <c r="K68" s="776"/>
      <c r="L68" s="776"/>
      <c r="M68" s="776"/>
      <c r="N68" s="776"/>
      <c r="O68" s="776"/>
      <c r="P68" s="776"/>
      <c r="Q68" s="776"/>
      <c r="R68" s="776"/>
      <c r="S68" s="776"/>
      <c r="T68" s="778"/>
      <c r="U68" s="776"/>
      <c r="V68" s="776"/>
      <c r="W68" s="776"/>
      <c r="X68" s="776"/>
      <c r="Y68" s="776"/>
      <c r="Z68" s="776"/>
      <c r="AA68" s="774">
        <v>320825848</v>
      </c>
      <c r="AB68" s="774">
        <v>320825848</v>
      </c>
      <c r="AC68" s="774"/>
      <c r="AD68" s="774"/>
      <c r="AE68" s="775"/>
      <c r="AF68" s="775"/>
      <c r="AG68" s="339"/>
      <c r="AH68" s="339"/>
      <c r="AI68" s="339"/>
    </row>
    <row r="69" spans="1:35" s="337" customFormat="1" ht="15" customHeight="1">
      <c r="A69" s="422" t="s">
        <v>248</v>
      </c>
      <c r="B69" s="108" t="s">
        <v>532</v>
      </c>
      <c r="C69" s="773">
        <f t="shared" si="8"/>
        <v>87124329</v>
      </c>
      <c r="D69" s="773">
        <f t="shared" si="7"/>
        <v>87124329</v>
      </c>
      <c r="E69" s="776"/>
      <c r="F69" s="776"/>
      <c r="G69" s="776"/>
      <c r="H69" s="776"/>
      <c r="I69" s="778"/>
      <c r="J69" s="776"/>
      <c r="K69" s="776"/>
      <c r="L69" s="776"/>
      <c r="M69" s="776"/>
      <c r="N69" s="776"/>
      <c r="O69" s="776"/>
      <c r="P69" s="776"/>
      <c r="Q69" s="776"/>
      <c r="R69" s="776"/>
      <c r="S69" s="776"/>
      <c r="T69" s="778"/>
      <c r="U69" s="776"/>
      <c r="V69" s="776"/>
      <c r="W69" s="776"/>
      <c r="X69" s="776"/>
      <c r="Y69" s="776"/>
      <c r="Z69" s="776"/>
      <c r="AA69" s="774">
        <v>87124329</v>
      </c>
      <c r="AB69" s="774">
        <v>87124329</v>
      </c>
      <c r="AC69" s="774"/>
      <c r="AD69" s="774"/>
      <c r="AE69" s="775"/>
      <c r="AF69" s="775"/>
      <c r="AG69" s="339"/>
      <c r="AH69" s="339"/>
      <c r="AI69" s="339"/>
    </row>
    <row r="70" spans="1:35" s="337" customFormat="1" ht="15" customHeight="1">
      <c r="A70" s="422" t="s">
        <v>248</v>
      </c>
      <c r="B70" s="108" t="s">
        <v>516</v>
      </c>
      <c r="C70" s="773">
        <f t="shared" si="8"/>
        <v>276705274</v>
      </c>
      <c r="D70" s="773">
        <f t="shared" si="7"/>
        <v>276705274</v>
      </c>
      <c r="E70" s="776"/>
      <c r="F70" s="776"/>
      <c r="G70" s="776"/>
      <c r="H70" s="776"/>
      <c r="I70" s="778"/>
      <c r="J70" s="778"/>
      <c r="K70" s="776"/>
      <c r="L70" s="776"/>
      <c r="M70" s="776"/>
      <c r="N70" s="776"/>
      <c r="O70" s="776"/>
      <c r="P70" s="776"/>
      <c r="Q70" s="776"/>
      <c r="R70" s="776"/>
      <c r="S70" s="776"/>
      <c r="T70" s="778"/>
      <c r="U70" s="776"/>
      <c r="V70" s="776"/>
      <c r="W70" s="776"/>
      <c r="X70" s="776"/>
      <c r="Y70" s="776"/>
      <c r="Z70" s="776"/>
      <c r="AA70" s="774">
        <v>276705274</v>
      </c>
      <c r="AB70" s="774">
        <v>276705274</v>
      </c>
      <c r="AC70" s="774"/>
      <c r="AD70" s="774"/>
      <c r="AE70" s="775"/>
      <c r="AF70" s="775"/>
      <c r="AG70" s="339"/>
      <c r="AH70" s="339"/>
      <c r="AI70" s="339"/>
    </row>
    <row r="71" spans="1:35" s="337" customFormat="1" ht="15" customHeight="1">
      <c r="A71" s="422" t="s">
        <v>248</v>
      </c>
      <c r="B71" s="108" t="s">
        <v>230</v>
      </c>
      <c r="C71" s="773">
        <f t="shared" si="8"/>
        <v>423742719</v>
      </c>
      <c r="D71" s="773">
        <f t="shared" si="7"/>
        <v>470945807</v>
      </c>
      <c r="E71" s="776"/>
      <c r="F71" s="776">
        <v>1333000</v>
      </c>
      <c r="G71" s="776"/>
      <c r="H71" s="776">
        <v>177040</v>
      </c>
      <c r="I71" s="776"/>
      <c r="J71" s="776"/>
      <c r="K71" s="776"/>
      <c r="L71" s="776"/>
      <c r="M71" s="776"/>
      <c r="N71" s="776"/>
      <c r="O71" s="776"/>
      <c r="P71" s="776"/>
      <c r="Q71" s="776"/>
      <c r="R71" s="776"/>
      <c r="S71" s="776"/>
      <c r="T71" s="776"/>
      <c r="U71" s="776"/>
      <c r="V71" s="776"/>
      <c r="W71" s="776"/>
      <c r="X71" s="776"/>
      <c r="Y71" s="776"/>
      <c r="Z71" s="776"/>
      <c r="AA71" s="774">
        <v>423742719</v>
      </c>
      <c r="AB71" s="774">
        <f>423742719+45693048</f>
        <v>469435767</v>
      </c>
      <c r="AC71" s="774"/>
      <c r="AD71" s="774"/>
      <c r="AE71" s="775"/>
      <c r="AF71" s="775"/>
      <c r="AG71" s="339"/>
      <c r="AH71" s="339"/>
      <c r="AI71" s="339"/>
    </row>
    <row r="72" spans="1:35" s="337" customFormat="1" ht="15" customHeight="1">
      <c r="A72" s="422" t="s">
        <v>248</v>
      </c>
      <c r="B72" s="108" t="s">
        <v>335</v>
      </c>
      <c r="C72" s="773">
        <f t="shared" si="8"/>
        <v>232267856</v>
      </c>
      <c r="D72" s="773">
        <f t="shared" si="7"/>
        <v>232267856</v>
      </c>
      <c r="E72" s="776"/>
      <c r="F72" s="776"/>
      <c r="G72" s="776"/>
      <c r="H72" s="778"/>
      <c r="I72" s="776"/>
      <c r="J72" s="778"/>
      <c r="K72" s="776"/>
      <c r="L72" s="776"/>
      <c r="M72" s="776"/>
      <c r="N72" s="776"/>
      <c r="O72" s="776"/>
      <c r="P72" s="776"/>
      <c r="Q72" s="776"/>
      <c r="R72" s="776"/>
      <c r="S72" s="776"/>
      <c r="T72" s="776"/>
      <c r="U72" s="776"/>
      <c r="V72" s="776"/>
      <c r="W72" s="776"/>
      <c r="X72" s="776"/>
      <c r="Y72" s="776"/>
      <c r="Z72" s="776"/>
      <c r="AA72" s="774">
        <v>232267856</v>
      </c>
      <c r="AB72" s="774">
        <v>232267856</v>
      </c>
      <c r="AC72" s="774"/>
      <c r="AD72" s="774"/>
      <c r="AE72" s="775"/>
      <c r="AF72" s="775"/>
      <c r="AG72" s="339"/>
      <c r="AH72" s="339"/>
      <c r="AI72" s="339"/>
    </row>
    <row r="73" spans="1:35" s="337" customFormat="1" ht="15" customHeight="1">
      <c r="A73" s="419"/>
      <c r="B73" s="423"/>
      <c r="C73" s="773">
        <f t="shared" si="8"/>
        <v>0</v>
      </c>
      <c r="D73" s="773">
        <f t="shared" si="7"/>
        <v>0</v>
      </c>
      <c r="E73" s="776"/>
      <c r="F73" s="776"/>
      <c r="G73" s="776"/>
      <c r="H73" s="776"/>
      <c r="I73" s="776"/>
      <c r="J73" s="778"/>
      <c r="K73" s="776"/>
      <c r="L73" s="776"/>
      <c r="M73" s="776"/>
      <c r="N73" s="776"/>
      <c r="O73" s="776"/>
      <c r="P73" s="776"/>
      <c r="Q73" s="776"/>
      <c r="R73" s="776"/>
      <c r="S73" s="776"/>
      <c r="T73" s="776"/>
      <c r="U73" s="776"/>
      <c r="V73" s="776"/>
      <c r="W73" s="776"/>
      <c r="X73" s="776"/>
      <c r="Y73" s="776"/>
      <c r="Z73" s="776"/>
      <c r="AA73" s="774"/>
      <c r="AB73" s="779"/>
      <c r="AC73" s="774"/>
      <c r="AD73" s="774"/>
      <c r="AE73" s="775"/>
      <c r="AF73" s="775"/>
      <c r="AG73" s="339"/>
      <c r="AH73" s="339"/>
      <c r="AI73" s="339"/>
    </row>
    <row r="74" spans="1:35" s="337" customFormat="1" ht="8.25" customHeight="1">
      <c r="A74" s="419"/>
      <c r="B74" s="423"/>
      <c r="C74" s="773"/>
      <c r="D74" s="773"/>
      <c r="E74" s="776"/>
      <c r="F74" s="778"/>
      <c r="G74" s="778"/>
      <c r="H74" s="778"/>
      <c r="I74" s="778"/>
      <c r="J74" s="778"/>
      <c r="K74" s="778"/>
      <c r="L74" s="778"/>
      <c r="M74" s="778"/>
      <c r="N74" s="778"/>
      <c r="O74" s="778"/>
      <c r="P74" s="778"/>
      <c r="Q74" s="778"/>
      <c r="R74" s="778"/>
      <c r="S74" s="778"/>
      <c r="T74" s="778"/>
      <c r="U74" s="778"/>
      <c r="V74" s="778"/>
      <c r="W74" s="778"/>
      <c r="X74" s="778"/>
      <c r="Y74" s="778"/>
      <c r="Z74" s="778"/>
      <c r="AA74" s="779"/>
      <c r="AB74" s="779"/>
      <c r="AC74" s="779"/>
      <c r="AD74" s="779"/>
      <c r="AE74" s="775"/>
      <c r="AF74" s="775"/>
      <c r="AG74" s="339"/>
      <c r="AH74" s="339"/>
      <c r="AI74" s="339"/>
    </row>
    <row r="75" spans="1:35" s="337" customFormat="1" ht="15" customHeight="1">
      <c r="A75" s="421"/>
      <c r="B75" s="498" t="s">
        <v>71</v>
      </c>
      <c r="C75" s="773">
        <v>6511270293</v>
      </c>
      <c r="D75" s="773">
        <f>F75+H75+J75+L75+N75+P75+R75+T75+V75+X75+Z75+AB75+AD75</f>
        <v>6599014794</v>
      </c>
      <c r="E75" s="780">
        <f t="shared" ref="E75:AD75" si="9">SUM(E10:E73)</f>
        <v>104675380</v>
      </c>
      <c r="F75" s="781">
        <f t="shared" si="9"/>
        <v>110425772</v>
      </c>
      <c r="G75" s="781">
        <f t="shared" si="9"/>
        <v>13691950</v>
      </c>
      <c r="H75" s="781">
        <f t="shared" si="9"/>
        <v>14098884</v>
      </c>
      <c r="I75" s="781">
        <f t="shared" si="9"/>
        <v>675864092</v>
      </c>
      <c r="J75" s="781">
        <f t="shared" si="9"/>
        <v>744500294</v>
      </c>
      <c r="K75" s="781">
        <f t="shared" si="9"/>
        <v>702218213</v>
      </c>
      <c r="L75" s="781">
        <f t="shared" si="9"/>
        <v>347823840</v>
      </c>
      <c r="M75" s="781">
        <f t="shared" si="9"/>
        <v>7964700</v>
      </c>
      <c r="N75" s="781">
        <f t="shared" si="9"/>
        <v>7964700</v>
      </c>
      <c r="O75" s="781">
        <f t="shared" si="9"/>
        <v>55216212</v>
      </c>
      <c r="P75" s="781">
        <f t="shared" si="9"/>
        <v>31449922</v>
      </c>
      <c r="Q75" s="781">
        <f t="shared" si="9"/>
        <v>3403923179</v>
      </c>
      <c r="R75" s="781">
        <f t="shared" si="9"/>
        <v>3357875008</v>
      </c>
      <c r="S75" s="781">
        <f t="shared" si="9"/>
        <v>388239493</v>
      </c>
      <c r="T75" s="781">
        <f t="shared" si="9"/>
        <v>391195323</v>
      </c>
      <c r="U75" s="781">
        <f t="shared" si="9"/>
        <v>83725000</v>
      </c>
      <c r="V75" s="781">
        <f t="shared" si="9"/>
        <v>98845133</v>
      </c>
      <c r="W75" s="781">
        <f t="shared" si="9"/>
        <v>65100000</v>
      </c>
      <c r="X75" s="781">
        <f t="shared" si="9"/>
        <v>65100000</v>
      </c>
      <c r="Y75" s="781">
        <f t="shared" si="9"/>
        <v>43376844</v>
      </c>
      <c r="Z75" s="781">
        <f t="shared" si="9"/>
        <v>43376844</v>
      </c>
      <c r="AA75" s="781">
        <f t="shared" si="9"/>
        <v>1340666026</v>
      </c>
      <c r="AB75" s="781">
        <f t="shared" si="9"/>
        <v>1386359074</v>
      </c>
      <c r="AC75" s="781">
        <f t="shared" si="9"/>
        <v>0</v>
      </c>
      <c r="AD75" s="781">
        <f t="shared" si="9"/>
        <v>0</v>
      </c>
      <c r="AE75" s="775"/>
      <c r="AF75" s="775"/>
      <c r="AG75" s="339"/>
      <c r="AH75" s="339"/>
      <c r="AI75" s="339"/>
    </row>
    <row r="76" spans="1:35" s="337" customFormat="1" ht="6.75" customHeight="1">
      <c r="A76" s="421"/>
      <c r="B76" s="340"/>
      <c r="C76" s="773"/>
      <c r="D76" s="773"/>
      <c r="E76" s="780"/>
      <c r="F76" s="780"/>
      <c r="G76" s="780"/>
      <c r="H76" s="780"/>
      <c r="I76" s="780"/>
      <c r="J76" s="780"/>
      <c r="K76" s="780"/>
      <c r="L76" s="781"/>
      <c r="M76" s="781"/>
      <c r="N76" s="781"/>
      <c r="O76" s="781"/>
      <c r="P76" s="781"/>
      <c r="Q76" s="781"/>
      <c r="R76" s="781"/>
      <c r="S76" s="781"/>
      <c r="T76" s="781"/>
      <c r="U76" s="781"/>
      <c r="V76" s="781"/>
      <c r="W76" s="781"/>
      <c r="X76" s="781"/>
      <c r="Y76" s="781"/>
      <c r="Z76" s="781"/>
      <c r="AA76" s="781"/>
      <c r="AB76" s="781"/>
      <c r="AC76" s="779"/>
      <c r="AD76" s="774"/>
      <c r="AE76" s="775"/>
      <c r="AF76" s="775"/>
      <c r="AG76" s="339"/>
      <c r="AH76" s="339"/>
      <c r="AI76" s="339"/>
    </row>
    <row r="77" spans="1:35" s="337" customFormat="1" ht="15" customHeight="1">
      <c r="A77" s="421"/>
      <c r="B77" s="498" t="s">
        <v>533</v>
      </c>
      <c r="C77" s="780">
        <f>C75-C79-C81</f>
        <v>6443603489</v>
      </c>
      <c r="D77" s="780">
        <f>D75-D79-D81</f>
        <v>6530269012</v>
      </c>
      <c r="E77" s="780">
        <f t="shared" ref="E77:T77" si="10">E75-E79-E81</f>
        <v>103675380</v>
      </c>
      <c r="F77" s="780">
        <f t="shared" si="10"/>
        <v>109425772</v>
      </c>
      <c r="G77" s="780">
        <f t="shared" si="10"/>
        <v>13423646</v>
      </c>
      <c r="H77" s="780">
        <f t="shared" si="10"/>
        <v>13830580</v>
      </c>
      <c r="I77" s="780">
        <f t="shared" si="10"/>
        <v>662465592</v>
      </c>
      <c r="J77" s="780">
        <f t="shared" si="10"/>
        <v>730472266</v>
      </c>
      <c r="K77" s="780">
        <f t="shared" si="10"/>
        <v>692918213</v>
      </c>
      <c r="L77" s="780">
        <f t="shared" si="10"/>
        <v>338074390</v>
      </c>
      <c r="M77" s="780">
        <f t="shared" si="10"/>
        <v>7964700</v>
      </c>
      <c r="N77" s="780">
        <f t="shared" si="10"/>
        <v>7964700</v>
      </c>
      <c r="O77" s="780">
        <f t="shared" si="10"/>
        <v>55216212</v>
      </c>
      <c r="P77" s="780">
        <f t="shared" si="10"/>
        <v>31449922</v>
      </c>
      <c r="Q77" s="780">
        <f t="shared" si="10"/>
        <v>3360223179</v>
      </c>
      <c r="R77" s="780">
        <f t="shared" si="10"/>
        <v>3314175008</v>
      </c>
      <c r="S77" s="780">
        <f t="shared" si="10"/>
        <v>388239493</v>
      </c>
      <c r="T77" s="780">
        <f t="shared" si="10"/>
        <v>391195323</v>
      </c>
      <c r="U77" s="781">
        <f t="shared" ref="U77:AD77" si="11">U75-U79-U81</f>
        <v>83725000</v>
      </c>
      <c r="V77" s="781">
        <f t="shared" si="11"/>
        <v>98845133</v>
      </c>
      <c r="W77" s="781">
        <f t="shared" si="11"/>
        <v>65100000</v>
      </c>
      <c r="X77" s="781">
        <f t="shared" si="11"/>
        <v>65100000</v>
      </c>
      <c r="Y77" s="781">
        <f t="shared" si="11"/>
        <v>43376844</v>
      </c>
      <c r="Z77" s="781">
        <f t="shared" si="11"/>
        <v>43376844</v>
      </c>
      <c r="AA77" s="781">
        <f t="shared" si="11"/>
        <v>1340666026</v>
      </c>
      <c r="AB77" s="781">
        <f t="shared" si="11"/>
        <v>1386359074</v>
      </c>
      <c r="AC77" s="781">
        <f t="shared" si="11"/>
        <v>0</v>
      </c>
      <c r="AD77" s="780">
        <f t="shared" si="11"/>
        <v>0</v>
      </c>
      <c r="AE77" s="775"/>
      <c r="AF77" s="775"/>
      <c r="AG77" s="339"/>
      <c r="AH77" s="339"/>
      <c r="AI77" s="339"/>
    </row>
    <row r="78" spans="1:35" s="337" customFormat="1" ht="6.75" customHeight="1">
      <c r="A78" s="421"/>
      <c r="B78" s="340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  <c r="O78" s="773"/>
      <c r="P78" s="773"/>
      <c r="Q78" s="773"/>
      <c r="R78" s="773"/>
      <c r="S78" s="773"/>
      <c r="T78" s="773"/>
      <c r="U78" s="773"/>
      <c r="V78" s="773"/>
      <c r="W78" s="773"/>
      <c r="X78" s="773"/>
      <c r="Y78" s="773"/>
      <c r="Z78" s="773"/>
      <c r="AA78" s="773"/>
      <c r="AB78" s="773"/>
      <c r="AC78" s="773"/>
      <c r="AD78" s="773"/>
      <c r="AE78" s="775"/>
      <c r="AF78" s="775"/>
      <c r="AG78" s="339"/>
      <c r="AH78" s="339"/>
      <c r="AI78" s="339"/>
    </row>
    <row r="79" spans="1:35" s="337" customFormat="1" ht="15" customHeight="1">
      <c r="A79" s="421"/>
      <c r="B79" s="498" t="s">
        <v>534</v>
      </c>
      <c r="C79" s="780">
        <f>C45+C36+C13+C46</f>
        <v>67666804</v>
      </c>
      <c r="D79" s="780">
        <f t="shared" ref="D79:X79" si="12">D45+D36+D13+D46</f>
        <v>68745782</v>
      </c>
      <c r="E79" s="780">
        <f t="shared" si="12"/>
        <v>1000000</v>
      </c>
      <c r="F79" s="780">
        <f t="shared" si="12"/>
        <v>1000000</v>
      </c>
      <c r="G79" s="780">
        <f t="shared" si="12"/>
        <v>268304</v>
      </c>
      <c r="H79" s="780">
        <f t="shared" si="12"/>
        <v>268304</v>
      </c>
      <c r="I79" s="780">
        <f t="shared" si="12"/>
        <v>13398500</v>
      </c>
      <c r="J79" s="780">
        <f t="shared" si="12"/>
        <v>14028028</v>
      </c>
      <c r="K79" s="780">
        <f t="shared" si="12"/>
        <v>9300000</v>
      </c>
      <c r="L79" s="780">
        <f t="shared" si="12"/>
        <v>9749450</v>
      </c>
      <c r="M79" s="780">
        <f t="shared" si="12"/>
        <v>0</v>
      </c>
      <c r="N79" s="780">
        <f t="shared" si="12"/>
        <v>0</v>
      </c>
      <c r="O79" s="780">
        <f t="shared" si="12"/>
        <v>0</v>
      </c>
      <c r="P79" s="780">
        <f t="shared" si="12"/>
        <v>0</v>
      </c>
      <c r="Q79" s="780">
        <f t="shared" si="12"/>
        <v>43700000</v>
      </c>
      <c r="R79" s="780">
        <f t="shared" si="12"/>
        <v>43700000</v>
      </c>
      <c r="S79" s="780">
        <f t="shared" si="12"/>
        <v>0</v>
      </c>
      <c r="T79" s="780">
        <f t="shared" si="12"/>
        <v>0</v>
      </c>
      <c r="U79" s="780">
        <f t="shared" si="12"/>
        <v>0</v>
      </c>
      <c r="V79" s="780">
        <f t="shared" si="12"/>
        <v>0</v>
      </c>
      <c r="W79" s="780">
        <f t="shared" si="12"/>
        <v>0</v>
      </c>
      <c r="X79" s="780">
        <f t="shared" si="12"/>
        <v>0</v>
      </c>
      <c r="Y79" s="780">
        <f t="shared" ref="Y79:AD79" si="13">Y45+Y36+Y13</f>
        <v>0</v>
      </c>
      <c r="Z79" s="780">
        <f t="shared" si="13"/>
        <v>0</v>
      </c>
      <c r="AA79" s="780">
        <f t="shared" si="13"/>
        <v>0</v>
      </c>
      <c r="AB79" s="780">
        <f t="shared" si="13"/>
        <v>0</v>
      </c>
      <c r="AC79" s="780">
        <f t="shared" si="13"/>
        <v>0</v>
      </c>
      <c r="AD79" s="780">
        <f t="shared" si="13"/>
        <v>0</v>
      </c>
      <c r="AE79" s="775"/>
      <c r="AF79" s="775"/>
      <c r="AG79" s="339"/>
      <c r="AH79" s="339"/>
      <c r="AI79" s="339"/>
    </row>
    <row r="80" spans="1:35" s="343" customFormat="1" ht="6" customHeight="1">
      <c r="A80" s="341"/>
      <c r="B80" s="341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  <c r="O80" s="782"/>
      <c r="P80" s="782"/>
      <c r="Q80" s="782"/>
      <c r="R80" s="782"/>
      <c r="S80" s="782"/>
      <c r="T80" s="782"/>
      <c r="U80" s="782"/>
      <c r="V80" s="782"/>
      <c r="W80" s="782"/>
      <c r="X80" s="782"/>
      <c r="Y80" s="782"/>
      <c r="Z80" s="782"/>
      <c r="AA80" s="782"/>
      <c r="AB80" s="782"/>
      <c r="AC80" s="782"/>
      <c r="AD80" s="782"/>
      <c r="AE80" s="783"/>
      <c r="AF80" s="783"/>
    </row>
    <row r="81" spans="1:32" s="343" customFormat="1" ht="15" customHeight="1">
      <c r="A81" s="341"/>
      <c r="B81" s="498" t="s">
        <v>535</v>
      </c>
      <c r="C81" s="780">
        <v>0</v>
      </c>
      <c r="D81" s="780">
        <v>0</v>
      </c>
      <c r="E81" s="780">
        <v>0</v>
      </c>
      <c r="F81" s="780">
        <v>0</v>
      </c>
      <c r="G81" s="780">
        <v>0</v>
      </c>
      <c r="H81" s="780">
        <v>0</v>
      </c>
      <c r="I81" s="780">
        <v>0</v>
      </c>
      <c r="J81" s="780">
        <v>0</v>
      </c>
      <c r="K81" s="780">
        <v>0</v>
      </c>
      <c r="L81" s="780">
        <v>0</v>
      </c>
      <c r="M81" s="780">
        <v>0</v>
      </c>
      <c r="N81" s="780">
        <v>0</v>
      </c>
      <c r="O81" s="780">
        <v>0</v>
      </c>
      <c r="P81" s="780">
        <v>0</v>
      </c>
      <c r="Q81" s="780">
        <v>0</v>
      </c>
      <c r="R81" s="780">
        <v>0</v>
      </c>
      <c r="S81" s="780">
        <v>0</v>
      </c>
      <c r="T81" s="780">
        <v>0</v>
      </c>
      <c r="U81" s="780">
        <v>0</v>
      </c>
      <c r="V81" s="780">
        <v>0</v>
      </c>
      <c r="W81" s="780">
        <v>0</v>
      </c>
      <c r="X81" s="780">
        <v>0</v>
      </c>
      <c r="Y81" s="780">
        <v>0</v>
      </c>
      <c r="Z81" s="780">
        <v>0</v>
      </c>
      <c r="AA81" s="780">
        <v>0</v>
      </c>
      <c r="AB81" s="780">
        <v>0</v>
      </c>
      <c r="AC81" s="780">
        <v>0</v>
      </c>
      <c r="AD81" s="780">
        <v>0</v>
      </c>
      <c r="AE81" s="783"/>
      <c r="AF81" s="783"/>
    </row>
    <row r="82" spans="1:32" s="343" customFormat="1" ht="15" customHeight="1">
      <c r="A82" s="341"/>
      <c r="B82" s="341"/>
      <c r="C82" s="784">
        <f>C77+C79</f>
        <v>6511270293</v>
      </c>
      <c r="D82" s="784">
        <f>D77+D79</f>
        <v>6599014794</v>
      </c>
      <c r="E82" s="784">
        <f>E77+E79</f>
        <v>104675380</v>
      </c>
      <c r="F82" s="784">
        <f t="shared" ref="F82:AD82" si="14">F77+F79</f>
        <v>110425772</v>
      </c>
      <c r="G82" s="784">
        <f>G77+G79</f>
        <v>13691950</v>
      </c>
      <c r="H82" s="784">
        <f t="shared" si="14"/>
        <v>14098884</v>
      </c>
      <c r="I82" s="784">
        <f>I77+I79</f>
        <v>675864092</v>
      </c>
      <c r="J82" s="784">
        <f t="shared" si="14"/>
        <v>744500294</v>
      </c>
      <c r="K82" s="784">
        <f>K77+K79</f>
        <v>702218213</v>
      </c>
      <c r="L82" s="784">
        <f t="shared" si="14"/>
        <v>347823840</v>
      </c>
      <c r="M82" s="784">
        <f>M77+M79</f>
        <v>7964700</v>
      </c>
      <c r="N82" s="784">
        <f t="shared" si="14"/>
        <v>7964700</v>
      </c>
      <c r="O82" s="784">
        <f>O77+O79</f>
        <v>55216212</v>
      </c>
      <c r="P82" s="784">
        <f t="shared" si="14"/>
        <v>31449922</v>
      </c>
      <c r="Q82" s="784">
        <f>Q77+Q79</f>
        <v>3403923179</v>
      </c>
      <c r="R82" s="784">
        <f t="shared" si="14"/>
        <v>3357875008</v>
      </c>
      <c r="S82" s="784">
        <f>S77+S79</f>
        <v>388239493</v>
      </c>
      <c r="T82" s="784">
        <f t="shared" si="14"/>
        <v>391195323</v>
      </c>
      <c r="U82" s="784">
        <f>U77+U79</f>
        <v>83725000</v>
      </c>
      <c r="V82" s="784">
        <f t="shared" si="14"/>
        <v>98845133</v>
      </c>
      <c r="W82" s="784">
        <f>W77+W79</f>
        <v>65100000</v>
      </c>
      <c r="X82" s="784">
        <f t="shared" si="14"/>
        <v>65100000</v>
      </c>
      <c r="Y82" s="784">
        <f t="shared" si="14"/>
        <v>43376844</v>
      </c>
      <c r="Z82" s="784">
        <f t="shared" si="14"/>
        <v>43376844</v>
      </c>
      <c r="AA82" s="784">
        <f t="shared" si="14"/>
        <v>1340666026</v>
      </c>
      <c r="AB82" s="784">
        <f t="shared" si="14"/>
        <v>1386359074</v>
      </c>
      <c r="AC82" s="784">
        <f t="shared" si="14"/>
        <v>0</v>
      </c>
      <c r="AD82" s="784">
        <f t="shared" si="14"/>
        <v>0</v>
      </c>
      <c r="AE82" s="783"/>
      <c r="AF82" s="783"/>
    </row>
    <row r="83" spans="1:32" s="343" customFormat="1" ht="15" customHeight="1"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N83" s="783"/>
      <c r="O83" s="783"/>
      <c r="P83" s="783"/>
      <c r="Q83" s="783"/>
      <c r="R83" s="783"/>
      <c r="S83" s="783"/>
      <c r="T83" s="783"/>
      <c r="U83" s="783"/>
      <c r="V83" s="783"/>
      <c r="W83" s="783"/>
      <c r="X83" s="783"/>
      <c r="Y83" s="783"/>
      <c r="Z83" s="783"/>
      <c r="AA83" s="783"/>
      <c r="AB83" s="783"/>
      <c r="AC83" s="783"/>
      <c r="AD83" s="783"/>
      <c r="AE83" s="783"/>
      <c r="AF83" s="783"/>
    </row>
    <row r="84" spans="1:32" s="332" customFormat="1" ht="15" customHeight="1">
      <c r="C84" s="785"/>
      <c r="D84" s="785"/>
      <c r="E84" s="785"/>
      <c r="F84" s="785"/>
      <c r="G84" s="785"/>
      <c r="H84" s="785"/>
      <c r="I84" s="785"/>
      <c r="J84" s="785"/>
      <c r="K84" s="785"/>
      <c r="L84" s="785"/>
      <c r="M84" s="785"/>
      <c r="N84" s="785"/>
      <c r="O84" s="785"/>
      <c r="P84" s="785"/>
      <c r="Q84" s="785"/>
      <c r="R84" s="785"/>
      <c r="S84" s="785"/>
      <c r="T84" s="785"/>
      <c r="U84" s="785"/>
      <c r="V84" s="785"/>
      <c r="W84" s="785"/>
      <c r="X84" s="785"/>
      <c r="Y84" s="785"/>
      <c r="Z84" s="785"/>
      <c r="AA84" s="785"/>
      <c r="AB84" s="785"/>
      <c r="AC84" s="785"/>
      <c r="AD84" s="785"/>
      <c r="AE84" s="785"/>
      <c r="AF84" s="785"/>
    </row>
    <row r="85" spans="1:32" s="343" customFormat="1" ht="15" customHeight="1">
      <c r="C85" s="342"/>
      <c r="D85" s="466"/>
      <c r="E85" s="342"/>
      <c r="F85" s="342"/>
      <c r="G85" s="342"/>
      <c r="H85" s="342"/>
      <c r="I85" s="342"/>
      <c r="J85" s="342"/>
      <c r="K85" s="342"/>
      <c r="L85" s="411"/>
      <c r="M85" s="342"/>
      <c r="N85" s="342"/>
      <c r="O85" s="342"/>
      <c r="P85" s="342"/>
      <c r="Q85" s="342"/>
      <c r="R85" s="342"/>
      <c r="S85" s="342"/>
      <c r="T85" s="342"/>
      <c r="U85" s="342"/>
      <c r="V85" s="342"/>
      <c r="W85" s="342"/>
      <c r="X85" s="342"/>
      <c r="Y85" s="342"/>
      <c r="Z85" s="342"/>
      <c r="AA85" s="342"/>
      <c r="AB85" s="342"/>
      <c r="AC85" s="342"/>
      <c r="AD85" s="342"/>
      <c r="AE85" s="342"/>
    </row>
    <row r="86" spans="1:32" s="343" customFormat="1" ht="15" customHeight="1">
      <c r="C86" s="342"/>
      <c r="D86" s="342"/>
      <c r="E86" s="342"/>
      <c r="F86" s="411"/>
      <c r="G86" s="342"/>
      <c r="H86" s="411"/>
      <c r="I86" s="411"/>
      <c r="J86" s="411"/>
      <c r="K86" s="411"/>
      <c r="L86" s="411"/>
      <c r="M86" s="411"/>
      <c r="N86" s="411"/>
      <c r="O86" s="411"/>
      <c r="P86" s="411"/>
      <c r="Q86" s="411"/>
      <c r="R86" s="411"/>
      <c r="S86" s="411"/>
      <c r="T86" s="411"/>
      <c r="U86" s="411"/>
      <c r="V86" s="411"/>
      <c r="W86" s="411"/>
      <c r="X86" s="411"/>
      <c r="Y86" s="411"/>
      <c r="Z86" s="411"/>
      <c r="AA86" s="411"/>
      <c r="AB86" s="411"/>
      <c r="AC86" s="342"/>
      <c r="AD86" s="342"/>
      <c r="AE86" s="342"/>
    </row>
    <row r="87" spans="1:32" s="343" customFormat="1" ht="15" customHeight="1"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/>
      <c r="AA87" s="342"/>
      <c r="AB87" s="342"/>
      <c r="AC87" s="342"/>
      <c r="AD87" s="342"/>
      <c r="AE87" s="342"/>
    </row>
    <row r="88" spans="1:32" s="343" customFormat="1" ht="15" customHeight="1"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466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</row>
    <row r="89" spans="1:32" s="343" customFormat="1" ht="15" customHeight="1"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  <c r="AA89" s="342"/>
      <c r="AB89" s="342"/>
      <c r="AC89" s="342"/>
      <c r="AD89" s="342"/>
      <c r="AE89" s="342"/>
    </row>
    <row r="90" spans="1:32" s="343" customFormat="1" ht="15" customHeight="1"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2"/>
      <c r="X90" s="342"/>
      <c r="Y90" s="342"/>
      <c r="Z90" s="342"/>
      <c r="AA90" s="342"/>
      <c r="AB90" s="342"/>
      <c r="AC90" s="342"/>
      <c r="AD90" s="342"/>
      <c r="AE90" s="342"/>
    </row>
    <row r="91" spans="1:32" s="343" customFormat="1" ht="15" customHeight="1"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/>
      <c r="T91" s="342"/>
      <c r="U91" s="342"/>
      <c r="V91" s="342"/>
      <c r="W91" s="342"/>
      <c r="X91" s="342"/>
      <c r="Y91" s="342"/>
      <c r="Z91" s="342"/>
      <c r="AA91" s="342"/>
      <c r="AB91" s="342"/>
      <c r="AC91" s="342"/>
      <c r="AD91" s="342"/>
      <c r="AE91" s="342"/>
    </row>
    <row r="92" spans="1:32" s="343" customFormat="1" ht="15" customHeight="1"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  <c r="AA92" s="342"/>
      <c r="AB92" s="342"/>
      <c r="AC92" s="342"/>
      <c r="AD92" s="342"/>
      <c r="AE92" s="342"/>
    </row>
    <row r="93" spans="1:32" s="343" customFormat="1" ht="15" customHeight="1"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  <c r="O93" s="342"/>
      <c r="P93" s="342"/>
      <c r="Q93" s="342"/>
      <c r="R93" s="342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</row>
    <row r="94" spans="1:32" s="343" customFormat="1" ht="15" customHeight="1"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  <c r="V94" s="342"/>
      <c r="W94" s="342"/>
      <c r="X94" s="342"/>
      <c r="Y94" s="342"/>
      <c r="Z94" s="342"/>
      <c r="AA94" s="342"/>
      <c r="AB94" s="342"/>
      <c r="AC94" s="342"/>
      <c r="AD94" s="342"/>
      <c r="AE94" s="342"/>
    </row>
    <row r="95" spans="1:32" s="343" customFormat="1" ht="15" customHeight="1"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  <c r="Z95" s="342"/>
      <c r="AA95" s="342"/>
      <c r="AB95" s="342"/>
      <c r="AC95" s="342"/>
      <c r="AD95" s="342"/>
      <c r="AE95" s="342"/>
    </row>
    <row r="96" spans="1:32" s="343" customFormat="1" ht="15" customHeight="1"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</row>
    <row r="97" spans="3:31" s="343" customFormat="1" ht="15" customHeight="1"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2"/>
      <c r="X97" s="342"/>
      <c r="Y97" s="342"/>
      <c r="Z97" s="342"/>
      <c r="AA97" s="342"/>
      <c r="AB97" s="342"/>
      <c r="AC97" s="342"/>
      <c r="AD97" s="342"/>
      <c r="AE97" s="342"/>
    </row>
    <row r="98" spans="3:31" s="343" customFormat="1" ht="15" customHeight="1"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342"/>
      <c r="Z98" s="342"/>
      <c r="AA98" s="342"/>
      <c r="AB98" s="342"/>
      <c r="AC98" s="342"/>
      <c r="AD98" s="342"/>
      <c r="AE98" s="342"/>
    </row>
    <row r="99" spans="3:31" s="343" customFormat="1" ht="15" customHeight="1"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  <c r="AA99" s="342"/>
      <c r="AB99" s="342"/>
      <c r="AC99" s="342"/>
      <c r="AD99" s="342"/>
      <c r="AE99" s="342"/>
    </row>
    <row r="100" spans="3:31" s="343" customFormat="1" ht="15" customHeight="1"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342"/>
    </row>
    <row r="101" spans="3:31" s="343" customFormat="1" ht="15" customHeight="1"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</row>
    <row r="102" spans="3:31" s="343" customFormat="1" ht="15" customHeight="1"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</row>
    <row r="103" spans="3:31" s="343" customFormat="1" ht="15" customHeight="1"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2"/>
      <c r="X103" s="342"/>
      <c r="Y103" s="342"/>
      <c r="Z103" s="342"/>
      <c r="AA103" s="342"/>
      <c r="AB103" s="342"/>
      <c r="AC103" s="342"/>
      <c r="AD103" s="342"/>
      <c r="AE103" s="342"/>
    </row>
    <row r="104" spans="3:31" s="343" customFormat="1" ht="15" customHeight="1"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</row>
    <row r="105" spans="3:31" s="343" customFormat="1" ht="15" customHeight="1"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  <c r="AA105" s="342"/>
      <c r="AB105" s="342"/>
      <c r="AC105" s="342"/>
      <c r="AD105" s="342"/>
      <c r="AE105" s="342"/>
    </row>
    <row r="106" spans="3:31" s="343" customFormat="1" ht="15" customHeight="1"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</row>
    <row r="107" spans="3:31" s="343" customFormat="1" ht="15" customHeight="1">
      <c r="C107" s="342"/>
      <c r="D107" s="342"/>
      <c r="E107" s="34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2"/>
      <c r="Z107" s="342"/>
      <c r="AA107" s="342"/>
      <c r="AB107" s="342"/>
      <c r="AC107" s="342"/>
      <c r="AD107" s="342"/>
      <c r="AE107" s="342"/>
    </row>
    <row r="108" spans="3:31" s="343" customFormat="1" ht="12" customHeight="1">
      <c r="C108" s="342"/>
      <c r="D108" s="342"/>
      <c r="E108" s="34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2"/>
      <c r="X108" s="342"/>
      <c r="Y108" s="342"/>
      <c r="Z108" s="342"/>
      <c r="AA108" s="342"/>
      <c r="AB108" s="342"/>
      <c r="AC108" s="342"/>
      <c r="AD108" s="342"/>
      <c r="AE108" s="342"/>
    </row>
    <row r="109" spans="3:31" s="343" customFormat="1" ht="12" customHeight="1">
      <c r="C109" s="342"/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</row>
    <row r="110" spans="3:31" s="343" customFormat="1" ht="12" customHeight="1"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2"/>
      <c r="X110" s="342"/>
      <c r="Y110" s="342"/>
      <c r="Z110" s="342"/>
      <c r="AA110" s="342"/>
      <c r="AB110" s="342"/>
      <c r="AC110" s="342"/>
      <c r="AD110" s="342"/>
      <c r="AE110" s="342"/>
    </row>
    <row r="111" spans="3:31" s="343" customFormat="1" ht="12" customHeight="1"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2"/>
      <c r="U111" s="342"/>
      <c r="V111" s="342"/>
      <c r="W111" s="342"/>
      <c r="X111" s="342"/>
      <c r="Y111" s="342"/>
      <c r="Z111" s="342"/>
      <c r="AA111" s="342"/>
      <c r="AB111" s="342"/>
      <c r="AC111" s="342"/>
      <c r="AD111" s="342"/>
      <c r="AE111" s="342"/>
    </row>
    <row r="112" spans="3:31" s="343" customFormat="1" ht="12" customHeight="1"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/>
    </row>
    <row r="113" spans="3:31" s="343" customFormat="1" ht="12" customHeight="1"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42"/>
      <c r="AA113" s="342"/>
      <c r="AB113" s="342"/>
      <c r="AC113" s="342"/>
      <c r="AD113" s="342"/>
      <c r="AE113" s="342"/>
    </row>
    <row r="114" spans="3:31" s="343" customFormat="1" ht="12" customHeight="1"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</row>
    <row r="115" spans="3:31" s="343" customFormat="1" ht="12" customHeight="1"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  <c r="AA115" s="342"/>
      <c r="AB115" s="342"/>
      <c r="AC115" s="342"/>
      <c r="AD115" s="342"/>
      <c r="AE115" s="342"/>
    </row>
    <row r="116" spans="3:31" s="343" customFormat="1" ht="12" customHeight="1"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342"/>
      <c r="Y116" s="342"/>
      <c r="Z116" s="342"/>
      <c r="AA116" s="342"/>
      <c r="AB116" s="342"/>
      <c r="AC116" s="342"/>
      <c r="AD116" s="342"/>
      <c r="AE116" s="342"/>
    </row>
    <row r="117" spans="3:31" s="343" customFormat="1" ht="12" customHeight="1"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2"/>
      <c r="X117" s="342"/>
      <c r="Y117" s="342"/>
      <c r="Z117" s="342"/>
      <c r="AA117" s="342"/>
      <c r="AB117" s="342"/>
      <c r="AC117" s="342"/>
      <c r="AD117" s="342"/>
      <c r="AE117" s="342"/>
    </row>
    <row r="118" spans="3:31" s="343" customFormat="1" ht="12" customHeight="1">
      <c r="C118" s="342"/>
      <c r="D118" s="342"/>
      <c r="E118" s="342"/>
      <c r="F118" s="342"/>
      <c r="G118" s="342"/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  <c r="S118" s="342"/>
      <c r="T118" s="342"/>
      <c r="U118" s="342"/>
      <c r="V118" s="342"/>
      <c r="W118" s="342"/>
      <c r="X118" s="342"/>
      <c r="Y118" s="342"/>
      <c r="Z118" s="342"/>
      <c r="AA118" s="342"/>
      <c r="AB118" s="342"/>
      <c r="AC118" s="342"/>
      <c r="AD118" s="342"/>
      <c r="AE118" s="342"/>
    </row>
    <row r="119" spans="3:31" s="343" customFormat="1" ht="12" customHeight="1"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342"/>
      <c r="V119" s="342"/>
      <c r="W119" s="342"/>
      <c r="X119" s="342"/>
      <c r="Y119" s="342"/>
      <c r="Z119" s="342"/>
      <c r="AA119" s="342"/>
      <c r="AB119" s="342"/>
      <c r="AC119" s="342"/>
      <c r="AD119" s="342"/>
      <c r="AE119" s="342"/>
    </row>
    <row r="120" spans="3:31" s="343" customFormat="1" ht="12" customHeight="1">
      <c r="C120" s="342"/>
      <c r="D120" s="342"/>
      <c r="E120" s="342"/>
      <c r="F120" s="342"/>
      <c r="G120" s="342"/>
      <c r="H120" s="342"/>
      <c r="I120" s="342"/>
      <c r="J120" s="342"/>
      <c r="K120" s="342"/>
      <c r="L120" s="342"/>
      <c r="M120" s="342"/>
      <c r="N120" s="342"/>
      <c r="O120" s="342"/>
      <c r="P120" s="342"/>
      <c r="Q120" s="342"/>
      <c r="R120" s="342"/>
      <c r="S120" s="342"/>
      <c r="T120" s="342"/>
      <c r="U120" s="342"/>
      <c r="V120" s="342"/>
      <c r="W120" s="342"/>
      <c r="X120" s="342"/>
      <c r="Y120" s="342"/>
      <c r="Z120" s="342"/>
      <c r="AA120" s="342"/>
      <c r="AB120" s="342"/>
      <c r="AC120" s="342"/>
      <c r="AD120" s="342"/>
      <c r="AE120" s="342"/>
    </row>
    <row r="121" spans="3:31" s="343" customFormat="1" ht="12" customHeight="1">
      <c r="C121" s="342"/>
      <c r="D121" s="342"/>
      <c r="E121" s="342"/>
      <c r="F121" s="342"/>
      <c r="G121" s="342"/>
      <c r="H121" s="342"/>
      <c r="I121" s="342"/>
      <c r="J121" s="342"/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342"/>
      <c r="W121" s="342"/>
      <c r="X121" s="342"/>
      <c r="Y121" s="342"/>
      <c r="Z121" s="342"/>
      <c r="AA121" s="342"/>
      <c r="AB121" s="342"/>
      <c r="AC121" s="342"/>
      <c r="AD121" s="342"/>
      <c r="AE121" s="342"/>
    </row>
    <row r="122" spans="3:31" s="343" customFormat="1" ht="12" customHeight="1"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342"/>
      <c r="AA122" s="342"/>
      <c r="AB122" s="342"/>
      <c r="AC122" s="342"/>
      <c r="AD122" s="342"/>
      <c r="AE122" s="342"/>
    </row>
    <row r="123" spans="3:31" s="343" customFormat="1" ht="12" customHeight="1">
      <c r="C123" s="342"/>
      <c r="D123" s="342"/>
      <c r="E123" s="342"/>
      <c r="F123" s="342"/>
      <c r="G123" s="342"/>
      <c r="H123" s="342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2"/>
      <c r="V123" s="342"/>
      <c r="W123" s="342"/>
      <c r="X123" s="342"/>
      <c r="Y123" s="342"/>
      <c r="Z123" s="342"/>
      <c r="AA123" s="342"/>
      <c r="AB123" s="342"/>
      <c r="AC123" s="342"/>
      <c r="AD123" s="342"/>
      <c r="AE123" s="342"/>
    </row>
    <row r="124" spans="3:31" s="343" customFormat="1" ht="12" customHeight="1"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2"/>
      <c r="W124" s="342"/>
      <c r="X124" s="342"/>
      <c r="Y124" s="342"/>
      <c r="Z124" s="342"/>
      <c r="AA124" s="342"/>
      <c r="AB124" s="342"/>
      <c r="AC124" s="342"/>
      <c r="AD124" s="342"/>
      <c r="AE124" s="342"/>
    </row>
    <row r="125" spans="3:31" s="343" customFormat="1" ht="12" customHeight="1">
      <c r="C125" s="342"/>
      <c r="D125" s="342"/>
      <c r="E125" s="342"/>
      <c r="F125" s="342"/>
      <c r="G125" s="342"/>
      <c r="H125" s="342"/>
      <c r="I125" s="342"/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2"/>
      <c r="X125" s="342"/>
      <c r="Y125" s="342"/>
      <c r="Z125" s="342"/>
      <c r="AA125" s="342"/>
      <c r="AB125" s="342"/>
      <c r="AC125" s="342"/>
      <c r="AD125" s="342"/>
      <c r="AE125" s="342"/>
    </row>
    <row r="126" spans="3:31" s="343" customFormat="1" ht="12" customHeight="1">
      <c r="C126" s="342"/>
      <c r="D126" s="342"/>
      <c r="E126" s="34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2"/>
      <c r="X126" s="342"/>
      <c r="Y126" s="342"/>
      <c r="Z126" s="342"/>
      <c r="AA126" s="342"/>
      <c r="AB126" s="342"/>
      <c r="AC126" s="342"/>
      <c r="AD126" s="342"/>
      <c r="AE126" s="342"/>
    </row>
    <row r="127" spans="3:31" s="343" customFormat="1" ht="12" customHeight="1">
      <c r="C127" s="342"/>
      <c r="D127" s="342"/>
      <c r="E127" s="342"/>
      <c r="F127" s="342"/>
      <c r="G127" s="342"/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2"/>
      <c r="X127" s="342"/>
      <c r="Y127" s="342"/>
      <c r="Z127" s="342"/>
      <c r="AA127" s="342"/>
      <c r="AB127" s="342"/>
      <c r="AC127" s="342"/>
      <c r="AD127" s="342"/>
      <c r="AE127" s="342"/>
    </row>
    <row r="128" spans="3:31" s="343" customFormat="1" ht="12" customHeight="1">
      <c r="C128" s="342"/>
      <c r="D128" s="342"/>
      <c r="E128" s="342"/>
      <c r="F128" s="342"/>
      <c r="G128" s="342"/>
      <c r="H128" s="342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  <c r="V128" s="342"/>
      <c r="W128" s="342"/>
      <c r="X128" s="342"/>
      <c r="Y128" s="342"/>
      <c r="Z128" s="342"/>
      <c r="AA128" s="342"/>
      <c r="AB128" s="342"/>
      <c r="AC128" s="342"/>
      <c r="AD128" s="342"/>
      <c r="AE128" s="342"/>
    </row>
    <row r="129" spans="3:31" s="343" customFormat="1" ht="12" customHeight="1">
      <c r="C129" s="342"/>
      <c r="D129" s="342"/>
      <c r="E129" s="342"/>
      <c r="F129" s="342"/>
      <c r="G129" s="342"/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  <c r="AA129" s="342"/>
      <c r="AB129" s="342"/>
      <c r="AC129" s="342"/>
      <c r="AD129" s="342"/>
      <c r="AE129" s="342"/>
    </row>
    <row r="130" spans="3:31" s="343" customFormat="1" ht="12" customHeight="1">
      <c r="C130" s="342"/>
      <c r="D130" s="342"/>
      <c r="E130" s="342"/>
      <c r="F130" s="342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342"/>
      <c r="Z130" s="342"/>
      <c r="AA130" s="342"/>
      <c r="AB130" s="342"/>
      <c r="AC130" s="342"/>
      <c r="AD130" s="342"/>
      <c r="AE130" s="342"/>
    </row>
    <row r="131" spans="3:31" s="343" customFormat="1" ht="12" customHeight="1">
      <c r="C131" s="342"/>
      <c r="D131" s="342"/>
      <c r="E131" s="342"/>
      <c r="F131" s="342"/>
      <c r="G131" s="342"/>
      <c r="H131" s="342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342"/>
      <c r="Y131" s="342"/>
      <c r="Z131" s="342"/>
      <c r="AA131" s="342"/>
      <c r="AB131" s="342"/>
      <c r="AC131" s="342"/>
      <c r="AD131" s="342"/>
      <c r="AE131" s="342"/>
    </row>
    <row r="132" spans="3:31" s="343" customFormat="1" ht="12" customHeight="1">
      <c r="C132" s="342"/>
      <c r="D132" s="342"/>
      <c r="E132" s="342"/>
      <c r="F132" s="342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342"/>
      <c r="Z132" s="342"/>
      <c r="AA132" s="342"/>
      <c r="AB132" s="342"/>
      <c r="AC132" s="342"/>
      <c r="AD132" s="342"/>
      <c r="AE132" s="342"/>
    </row>
    <row r="133" spans="3:31" s="343" customFormat="1" ht="12" customHeight="1">
      <c r="C133" s="342"/>
      <c r="D133" s="342"/>
      <c r="E133" s="342"/>
      <c r="F133" s="342"/>
      <c r="G133" s="342"/>
      <c r="H133" s="342"/>
      <c r="I133" s="342"/>
      <c r="J133" s="342"/>
      <c r="K133" s="342"/>
      <c r="L133" s="342"/>
      <c r="M133" s="342"/>
      <c r="N133" s="342"/>
      <c r="O133" s="342"/>
      <c r="P133" s="342"/>
      <c r="Q133" s="342"/>
      <c r="R133" s="342"/>
      <c r="S133" s="342"/>
      <c r="T133" s="342"/>
      <c r="U133" s="342"/>
      <c r="V133" s="342"/>
      <c r="W133" s="342"/>
      <c r="X133" s="342"/>
      <c r="Y133" s="342"/>
      <c r="Z133" s="342"/>
      <c r="AA133" s="342"/>
      <c r="AB133" s="342"/>
      <c r="AC133" s="342"/>
      <c r="AD133" s="342"/>
      <c r="AE133" s="342"/>
    </row>
    <row r="134" spans="3:31" s="332" customFormat="1" ht="11.25">
      <c r="C134" s="344"/>
      <c r="D134" s="344"/>
      <c r="E134" s="344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344"/>
      <c r="Q134" s="344"/>
      <c r="R134" s="344"/>
      <c r="S134" s="344"/>
      <c r="T134" s="344"/>
      <c r="U134" s="344"/>
      <c r="V134" s="344"/>
      <c r="W134" s="344"/>
      <c r="X134" s="344"/>
      <c r="Y134" s="344"/>
      <c r="Z134" s="344"/>
      <c r="AA134" s="344"/>
      <c r="AB134" s="344"/>
      <c r="AC134" s="344"/>
      <c r="AD134" s="344"/>
      <c r="AE134" s="344"/>
    </row>
    <row r="135" spans="3:31" s="332" customFormat="1" ht="11.25"/>
    <row r="136" spans="3:31" s="345" customFormat="1" ht="12"/>
    <row r="137" spans="3:31" s="345" customFormat="1" ht="12"/>
    <row r="138" spans="3:31" s="345" customFormat="1" ht="12"/>
    <row r="139" spans="3:31" s="345" customFormat="1" ht="12"/>
  </sheetData>
  <mergeCells count="19">
    <mergeCell ref="A3:AD3"/>
    <mergeCell ref="A6:B9"/>
    <mergeCell ref="AC6:AD8"/>
    <mergeCell ref="Q6:X6"/>
    <mergeCell ref="Y6:AB6"/>
    <mergeCell ref="E6:P6"/>
    <mergeCell ref="K7:L8"/>
    <mergeCell ref="M7:N8"/>
    <mergeCell ref="O7:P8"/>
    <mergeCell ref="Q7:R8"/>
    <mergeCell ref="Y7:Z8"/>
    <mergeCell ref="AA7:AB8"/>
    <mergeCell ref="C6:D8"/>
    <mergeCell ref="E7:F8"/>
    <mergeCell ref="G7:H8"/>
    <mergeCell ref="I7:J8"/>
    <mergeCell ref="S7:T8"/>
    <mergeCell ref="U7:V8"/>
    <mergeCell ref="W7:X8"/>
  </mergeCells>
  <phoneticPr fontId="1" type="noConversion"/>
  <printOptions horizontalCentered="1"/>
  <pageMargins left="0.15748031496062992" right="0.19685039370078741" top="0.23622047244094491" bottom="0.15748031496062992" header="0.23622047244094491" footer="0.15748031496062992"/>
  <pageSetup paperSize="8" scale="60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AB8D-32EC-40B5-84A3-3A15F2D57527}">
  <sheetPr>
    <pageSetUpPr fitToPage="1"/>
  </sheetPr>
  <dimension ref="B1:Y39"/>
  <sheetViews>
    <sheetView workbookViewId="0">
      <selection activeCell="C19" sqref="C19"/>
    </sheetView>
  </sheetViews>
  <sheetFormatPr defaultRowHeight="12.75"/>
  <cols>
    <col min="1" max="1" width="4.5703125" customWidth="1"/>
    <col min="2" max="2" width="11.42578125" customWidth="1"/>
    <col min="3" max="3" width="35.7109375" customWidth="1"/>
    <col min="4" max="23" width="9.42578125" customWidth="1"/>
    <col min="25" max="25" width="11.140625" bestFit="1" customWidth="1"/>
  </cols>
  <sheetData>
    <row r="1" spans="2:23">
      <c r="D1" s="238"/>
      <c r="E1" s="238"/>
      <c r="F1" s="238" t="s">
        <v>431</v>
      </c>
      <c r="G1" s="1174" t="str">
        <f>'bev-int'!B1</f>
        <v>melléklet a …/2024. (.  .) önkormányzati rendelethez</v>
      </c>
      <c r="H1" s="1174"/>
      <c r="I1" s="1174"/>
      <c r="J1" s="1174"/>
      <c r="K1" s="1174"/>
      <c r="L1" s="1174"/>
    </row>
    <row r="4" spans="2:23">
      <c r="B4" s="1148" t="s">
        <v>699</v>
      </c>
      <c r="C4" s="1148"/>
      <c r="D4" s="1148"/>
      <c r="E4" s="1148"/>
      <c r="F4" s="1148"/>
      <c r="G4" s="1148"/>
      <c r="H4" s="1148"/>
      <c r="I4" s="1148"/>
      <c r="J4" s="1148"/>
      <c r="K4" s="1148"/>
      <c r="L4" s="1148"/>
      <c r="M4" s="1148"/>
      <c r="N4" s="1148"/>
      <c r="O4" s="1148"/>
      <c r="P4" s="1148"/>
      <c r="Q4" s="1148"/>
      <c r="R4" s="1148"/>
      <c r="S4" s="1148"/>
      <c r="T4" s="1148"/>
      <c r="U4" s="1148"/>
      <c r="V4" s="1148"/>
      <c r="W4" s="1148"/>
    </row>
    <row r="5" spans="2:23"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</row>
    <row r="6" spans="2:23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2:23" ht="13.5" thickBot="1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V7" s="129" t="s">
        <v>310</v>
      </c>
      <c r="W7" s="129" t="s">
        <v>310</v>
      </c>
    </row>
    <row r="8" spans="2:23" ht="18.75" customHeight="1">
      <c r="B8" s="1149" t="s">
        <v>55</v>
      </c>
      <c r="C8" s="1150"/>
      <c r="D8" s="1161" t="s">
        <v>235</v>
      </c>
      <c r="E8" s="1150"/>
      <c r="F8" s="1157" t="s">
        <v>104</v>
      </c>
      <c r="G8" s="1158"/>
      <c r="H8" s="1158"/>
      <c r="I8" s="1158"/>
      <c r="J8" s="1158"/>
      <c r="K8" s="1158"/>
      <c r="L8" s="1158"/>
      <c r="M8" s="1160"/>
      <c r="N8" s="1157" t="s">
        <v>148</v>
      </c>
      <c r="O8" s="1158"/>
      <c r="P8" s="1158"/>
      <c r="Q8" s="1158"/>
      <c r="R8" s="1158"/>
      <c r="S8" s="1160"/>
      <c r="T8" s="1157" t="s">
        <v>81</v>
      </c>
      <c r="U8" s="1158"/>
      <c r="V8" s="1158"/>
      <c r="W8" s="1159"/>
    </row>
    <row r="9" spans="2:23" ht="13.5" customHeight="1">
      <c r="B9" s="1151"/>
      <c r="C9" s="1152"/>
      <c r="D9" s="1162"/>
      <c r="E9" s="1152"/>
      <c r="F9" s="1140" t="str">
        <f>'bev-int'!A26</f>
        <v>Közhatalmi bevételek</v>
      </c>
      <c r="G9" s="1141"/>
      <c r="H9" s="1140" t="str">
        <f>'bev-int'!A15</f>
        <v>Működési célú támogatások ÁH belülről</v>
      </c>
      <c r="I9" s="1141"/>
      <c r="J9" s="1140" t="str">
        <f>'bev-int'!A27</f>
        <v>Működési bevételek</v>
      </c>
      <c r="K9" s="1141"/>
      <c r="L9" s="1140" t="str">
        <f>'bev-int'!A29</f>
        <v>Működési célú átvett pénzeszközök</v>
      </c>
      <c r="M9" s="1141"/>
      <c r="N9" s="1140" t="str">
        <f>'bev-int'!A21</f>
        <v>Felhalmozási célú támogatások ÁH belülről</v>
      </c>
      <c r="O9" s="1141"/>
      <c r="P9" s="1140" t="str">
        <f>'bev-int'!A28</f>
        <v>Felhalmozási bevételek</v>
      </c>
      <c r="Q9" s="1141"/>
      <c r="R9" s="1140" t="str">
        <f>'bev-int'!A30</f>
        <v>Felhalmozási célú átvett pénzeszközök</v>
      </c>
      <c r="S9" s="1141"/>
      <c r="T9" s="1144" t="str">
        <f>'bev-int'!A37</f>
        <v>Központi, irányító szervi támogatás</v>
      </c>
      <c r="U9" s="1145"/>
      <c r="V9" s="1140" t="str">
        <f>'bev-int'!A34</f>
        <v>Maradvány igénybevétele</v>
      </c>
      <c r="W9" s="1155"/>
    </row>
    <row r="10" spans="2:23" ht="19.5" customHeight="1" thickBot="1">
      <c r="B10" s="1151"/>
      <c r="C10" s="1152"/>
      <c r="D10" s="1163"/>
      <c r="E10" s="1164"/>
      <c r="F10" s="1142"/>
      <c r="G10" s="1143"/>
      <c r="H10" s="1142"/>
      <c r="I10" s="1143"/>
      <c r="J10" s="1142"/>
      <c r="K10" s="1143"/>
      <c r="L10" s="1142"/>
      <c r="M10" s="1143"/>
      <c r="N10" s="1142"/>
      <c r="O10" s="1143"/>
      <c r="P10" s="1142"/>
      <c r="Q10" s="1143"/>
      <c r="R10" s="1142"/>
      <c r="S10" s="1143"/>
      <c r="T10" s="1146"/>
      <c r="U10" s="1147"/>
      <c r="V10" s="1142"/>
      <c r="W10" s="1156"/>
    </row>
    <row r="11" spans="2:23" ht="18.75" customHeight="1" thickBot="1">
      <c r="B11" s="1153"/>
      <c r="C11" s="1154"/>
      <c r="D11" s="265" t="s">
        <v>438</v>
      </c>
      <c r="E11" s="263" t="s">
        <v>439</v>
      </c>
      <c r="F11" s="265" t="s">
        <v>438</v>
      </c>
      <c r="G11" s="263" t="s">
        <v>439</v>
      </c>
      <c r="H11" s="265" t="s">
        <v>438</v>
      </c>
      <c r="I11" s="263" t="s">
        <v>439</v>
      </c>
      <c r="J11" s="265" t="s">
        <v>438</v>
      </c>
      <c r="K11" s="263" t="s">
        <v>439</v>
      </c>
      <c r="L11" s="265" t="s">
        <v>438</v>
      </c>
      <c r="M11" s="263" t="s">
        <v>439</v>
      </c>
      <c r="N11" s="265" t="s">
        <v>438</v>
      </c>
      <c r="O11" s="263" t="s">
        <v>439</v>
      </c>
      <c r="P11" s="265" t="s">
        <v>438</v>
      </c>
      <c r="Q11" s="263" t="s">
        <v>439</v>
      </c>
      <c r="R11" s="265" t="s">
        <v>438</v>
      </c>
      <c r="S11" s="263" t="s">
        <v>439</v>
      </c>
      <c r="T11" s="265" t="s">
        <v>438</v>
      </c>
      <c r="U11" s="263" t="s">
        <v>439</v>
      </c>
      <c r="V11" s="265" t="s">
        <v>438</v>
      </c>
      <c r="W11" s="264" t="s">
        <v>439</v>
      </c>
    </row>
    <row r="12" spans="2:23" ht="15" customHeight="1">
      <c r="B12" s="1132"/>
      <c r="C12" s="1133"/>
      <c r="D12" s="759"/>
      <c r="E12" s="759"/>
      <c r="F12" s="787"/>
      <c r="G12" s="787"/>
      <c r="H12" s="787"/>
      <c r="I12" s="787"/>
      <c r="J12" s="787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8"/>
      <c r="W12" s="762"/>
    </row>
    <row r="13" spans="2:23" ht="15" customHeight="1">
      <c r="B13" s="97" t="s">
        <v>437</v>
      </c>
      <c r="C13" s="989" t="s">
        <v>657</v>
      </c>
      <c r="D13" s="747">
        <f>F13+H13+J13+L13+N13+P13+R13+T13+V13</f>
        <v>120000</v>
      </c>
      <c r="E13" s="759">
        <f>G13+I13+K13+M13+O13+Q13+S13+U13+W13</f>
        <v>120000</v>
      </c>
      <c r="F13" s="787">
        <v>120000</v>
      </c>
      <c r="G13" s="787">
        <v>120000</v>
      </c>
      <c r="H13" s="787"/>
      <c r="I13" s="787"/>
      <c r="J13" s="787"/>
      <c r="K13" s="787"/>
      <c r="L13" s="787"/>
      <c r="M13" s="787"/>
      <c r="N13" s="787"/>
      <c r="O13" s="787"/>
      <c r="P13" s="787"/>
      <c r="Q13" s="787"/>
      <c r="R13" s="787"/>
      <c r="S13" s="787"/>
      <c r="T13" s="787"/>
      <c r="U13" s="787"/>
      <c r="V13" s="761"/>
      <c r="W13" s="762"/>
    </row>
    <row r="14" spans="2:23" ht="22.5" customHeight="1">
      <c r="B14" s="97" t="s">
        <v>248</v>
      </c>
      <c r="C14" s="481" t="s">
        <v>11</v>
      </c>
      <c r="D14" s="747">
        <f>F14+H14+J14+L14+N14+P14+R14+T14+V14</f>
        <v>5807997</v>
      </c>
      <c r="E14" s="747">
        <f>G14+I14+K14+M14+O14+Q14+S14+U14+W14</f>
        <v>5807997</v>
      </c>
      <c r="F14" s="749"/>
      <c r="G14" s="749"/>
      <c r="H14" s="749">
        <v>4800000</v>
      </c>
      <c r="I14" s="749">
        <v>4800000</v>
      </c>
      <c r="J14" s="749">
        <v>1007997</v>
      </c>
      <c r="K14" s="749">
        <v>1007997</v>
      </c>
      <c r="L14" s="749"/>
      <c r="M14" s="749"/>
      <c r="N14" s="749"/>
      <c r="O14" s="749"/>
      <c r="P14" s="749"/>
      <c r="Q14" s="749"/>
      <c r="R14" s="749"/>
      <c r="S14" s="749"/>
      <c r="T14" s="749"/>
      <c r="U14" s="749"/>
      <c r="V14" s="750"/>
      <c r="W14" s="751"/>
    </row>
    <row r="15" spans="2:23" ht="21.75" customHeight="1">
      <c r="B15" s="97" t="s">
        <v>377</v>
      </c>
      <c r="C15" s="481" t="s">
        <v>501</v>
      </c>
      <c r="D15" s="747">
        <f t="shared" ref="D15:D29" si="0">F15+H15+J15+L15+N15+P15+R15+T15+V15</f>
        <v>0</v>
      </c>
      <c r="E15" s="747">
        <f t="shared" ref="E15:E29" si="1">G15+I15+K15+M15+O15+Q15+S15+U15+W15</f>
        <v>0</v>
      </c>
      <c r="F15" s="749"/>
      <c r="G15" s="749"/>
      <c r="H15" s="749"/>
      <c r="I15" s="749"/>
      <c r="J15" s="749"/>
      <c r="K15" s="749"/>
      <c r="L15" s="749"/>
      <c r="M15" s="749"/>
      <c r="N15" s="749"/>
      <c r="O15" s="749"/>
      <c r="P15" s="749"/>
      <c r="Q15" s="749"/>
      <c r="R15" s="749"/>
      <c r="S15" s="749"/>
      <c r="T15" s="749"/>
      <c r="U15" s="749"/>
      <c r="V15" s="750"/>
      <c r="W15" s="751"/>
    </row>
    <row r="16" spans="2:23" ht="15" customHeight="1">
      <c r="B16" s="97" t="s">
        <v>248</v>
      </c>
      <c r="C16" s="482" t="s">
        <v>269</v>
      </c>
      <c r="D16" s="747">
        <f>F16+H16+J16+L16+N16+P16+R16+T16+V16</f>
        <v>3826812</v>
      </c>
      <c r="E16" s="747">
        <f>G16+I16+K16+M16+O16+Q16+S16+U16+W16</f>
        <v>3826812</v>
      </c>
      <c r="F16" s="749"/>
      <c r="G16" s="749"/>
      <c r="H16" s="749"/>
      <c r="I16" s="749"/>
      <c r="J16" s="749">
        <v>3826812</v>
      </c>
      <c r="K16" s="749">
        <v>3826812</v>
      </c>
      <c r="L16" s="749"/>
      <c r="M16" s="749"/>
      <c r="N16" s="749"/>
      <c r="O16" s="749"/>
      <c r="P16" s="749"/>
      <c r="Q16" s="749"/>
      <c r="R16" s="749"/>
      <c r="S16" s="749"/>
      <c r="T16" s="749"/>
      <c r="U16" s="749"/>
      <c r="V16" s="750"/>
      <c r="W16" s="751"/>
    </row>
    <row r="17" spans="2:25" ht="19.5" customHeight="1">
      <c r="B17" s="97" t="s">
        <v>248</v>
      </c>
      <c r="C17" s="482" t="s">
        <v>283</v>
      </c>
      <c r="D17" s="747">
        <f t="shared" si="0"/>
        <v>1837200</v>
      </c>
      <c r="E17" s="747">
        <f t="shared" si="1"/>
        <v>1837200</v>
      </c>
      <c r="F17" s="749"/>
      <c r="G17" s="749"/>
      <c r="H17" s="749"/>
      <c r="I17" s="749"/>
      <c r="J17" s="749"/>
      <c r="K17" s="749"/>
      <c r="L17" s="749"/>
      <c r="M17" s="749"/>
      <c r="N17" s="749"/>
      <c r="O17" s="749"/>
      <c r="P17" s="749"/>
      <c r="Q17" s="749"/>
      <c r="R17" s="749">
        <v>1837200</v>
      </c>
      <c r="S17" s="749">
        <v>1837200</v>
      </c>
      <c r="T17" s="749"/>
      <c r="U17" s="749"/>
      <c r="V17" s="750"/>
      <c r="W17" s="751"/>
    </row>
    <row r="18" spans="2:25" ht="22.5">
      <c r="B18" s="97" t="s">
        <v>377</v>
      </c>
      <c r="C18" s="482" t="s">
        <v>502</v>
      </c>
      <c r="D18" s="747">
        <f t="shared" ref="D18:E20" si="2">F18+H18+J18+L18+N18+P18+R18+T18+V18</f>
        <v>0</v>
      </c>
      <c r="E18" s="747">
        <f t="shared" si="2"/>
        <v>0</v>
      </c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49"/>
      <c r="T18" s="749"/>
      <c r="U18" s="749"/>
      <c r="V18" s="750"/>
      <c r="W18" s="751"/>
    </row>
    <row r="19" spans="2:25" ht="15" customHeight="1">
      <c r="B19" s="97" t="s">
        <v>248</v>
      </c>
      <c r="C19" s="481" t="s">
        <v>873</v>
      </c>
      <c r="D19" s="747">
        <f t="shared" si="2"/>
        <v>0</v>
      </c>
      <c r="E19" s="747">
        <f t="shared" si="2"/>
        <v>5668958</v>
      </c>
      <c r="F19" s="749"/>
      <c r="G19" s="749"/>
      <c r="H19" s="749"/>
      <c r="I19" s="749">
        <v>5668958</v>
      </c>
      <c r="J19" s="749"/>
      <c r="K19" s="749"/>
      <c r="L19" s="749"/>
      <c r="M19" s="749"/>
      <c r="N19" s="749"/>
      <c r="O19" s="749"/>
      <c r="P19" s="749"/>
      <c r="Q19" s="749"/>
      <c r="R19" s="749"/>
      <c r="S19" s="749"/>
      <c r="T19" s="749"/>
      <c r="U19" s="749"/>
      <c r="V19" s="750"/>
      <c r="W19" s="751"/>
    </row>
    <row r="20" spans="2:25" ht="15" hidden="1" customHeight="1">
      <c r="B20" s="97"/>
      <c r="C20" s="481"/>
      <c r="D20" s="747">
        <f t="shared" si="2"/>
        <v>0</v>
      </c>
      <c r="E20" s="747">
        <f t="shared" si="2"/>
        <v>0</v>
      </c>
      <c r="F20" s="749"/>
      <c r="G20" s="749"/>
      <c r="H20" s="749"/>
      <c r="I20" s="749"/>
      <c r="J20" s="749"/>
      <c r="K20" s="749"/>
      <c r="L20" s="749"/>
      <c r="M20" s="749"/>
      <c r="N20" s="749"/>
      <c r="O20" s="749"/>
      <c r="P20" s="749"/>
      <c r="Q20" s="749"/>
      <c r="R20" s="749"/>
      <c r="S20" s="749"/>
      <c r="T20" s="749"/>
      <c r="U20" s="749"/>
      <c r="V20" s="750"/>
      <c r="W20" s="751"/>
    </row>
    <row r="21" spans="2:25" ht="15" customHeight="1">
      <c r="B21" s="97" t="s">
        <v>437</v>
      </c>
      <c r="C21" s="481" t="s">
        <v>13</v>
      </c>
      <c r="D21" s="747">
        <f t="shared" si="0"/>
        <v>300000</v>
      </c>
      <c r="E21" s="747">
        <f t="shared" si="1"/>
        <v>300000</v>
      </c>
      <c r="F21" s="749">
        <v>300000</v>
      </c>
      <c r="G21" s="749">
        <v>300000</v>
      </c>
      <c r="H21" s="749"/>
      <c r="I21" s="749"/>
      <c r="J21" s="749"/>
      <c r="K21" s="749"/>
      <c r="L21" s="749"/>
      <c r="M21" s="749"/>
      <c r="N21" s="749"/>
      <c r="O21" s="749"/>
      <c r="P21" s="749"/>
      <c r="Q21" s="749"/>
      <c r="R21" s="749"/>
      <c r="S21" s="749"/>
      <c r="T21" s="749"/>
      <c r="U21" s="749"/>
      <c r="V21" s="750"/>
      <c r="W21" s="751"/>
    </row>
    <row r="22" spans="2:25" ht="21.75" customHeight="1">
      <c r="B22" s="97" t="s">
        <v>377</v>
      </c>
      <c r="C22" s="279" t="s">
        <v>658</v>
      </c>
      <c r="D22" s="747">
        <f t="shared" si="0"/>
        <v>0</v>
      </c>
      <c r="E22" s="747">
        <f t="shared" si="1"/>
        <v>0</v>
      </c>
      <c r="F22" s="749"/>
      <c r="G22" s="749"/>
      <c r="H22" s="749"/>
      <c r="I22" s="749"/>
      <c r="J22" s="749"/>
      <c r="K22" s="749"/>
      <c r="L22" s="749"/>
      <c r="M22" s="749"/>
      <c r="N22" s="749"/>
      <c r="O22" s="749"/>
      <c r="P22" s="749"/>
      <c r="Q22" s="749"/>
      <c r="R22" s="749"/>
      <c r="S22" s="749"/>
      <c r="T22" s="749"/>
      <c r="U22" s="749"/>
      <c r="V22" s="750"/>
      <c r="W22" s="751"/>
    </row>
    <row r="23" spans="2:25" ht="15" customHeight="1">
      <c r="B23" s="97" t="s">
        <v>248</v>
      </c>
      <c r="C23" s="481" t="s">
        <v>252</v>
      </c>
      <c r="D23" s="747">
        <f t="shared" si="0"/>
        <v>320825848</v>
      </c>
      <c r="E23" s="747">
        <f t="shared" si="1"/>
        <v>325406936</v>
      </c>
      <c r="F23" s="749"/>
      <c r="G23" s="749"/>
      <c r="H23" s="749"/>
      <c r="I23" s="749"/>
      <c r="J23" s="749"/>
      <c r="K23" s="749"/>
      <c r="L23" s="749"/>
      <c r="M23" s="749"/>
      <c r="N23" s="749"/>
      <c r="O23" s="749"/>
      <c r="P23" s="749"/>
      <c r="Q23" s="749"/>
      <c r="R23" s="749"/>
      <c r="S23" s="749"/>
      <c r="T23" s="749">
        <v>320825848</v>
      </c>
      <c r="U23" s="749">
        <v>320825848</v>
      </c>
      <c r="V23" s="750"/>
      <c r="W23" s="751">
        <v>4581088</v>
      </c>
    </row>
    <row r="24" spans="2:25" ht="15" hidden="1" customHeight="1">
      <c r="B24" s="97"/>
      <c r="C24" s="87" t="s">
        <v>253</v>
      </c>
      <c r="D24" s="747">
        <f t="shared" si="0"/>
        <v>0</v>
      </c>
      <c r="E24" s="747">
        <f t="shared" si="1"/>
        <v>0</v>
      </c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749"/>
      <c r="R24" s="749"/>
      <c r="S24" s="749"/>
      <c r="T24" s="749"/>
      <c r="U24" s="749"/>
      <c r="V24" s="750"/>
      <c r="W24" s="751"/>
    </row>
    <row r="25" spans="2:25" ht="15" hidden="1" customHeight="1">
      <c r="B25" s="97" t="s">
        <v>377</v>
      </c>
      <c r="C25" s="87" t="s">
        <v>253</v>
      </c>
      <c r="D25" s="747">
        <f t="shared" si="0"/>
        <v>0</v>
      </c>
      <c r="E25" s="747">
        <f t="shared" si="1"/>
        <v>0</v>
      </c>
      <c r="F25" s="749"/>
      <c r="G25" s="749"/>
      <c r="H25" s="749"/>
      <c r="I25" s="749"/>
      <c r="J25" s="749"/>
      <c r="K25" s="749"/>
      <c r="L25" s="749"/>
      <c r="M25" s="749"/>
      <c r="N25" s="749"/>
      <c r="O25" s="749"/>
      <c r="P25" s="749"/>
      <c r="Q25" s="749"/>
      <c r="R25" s="749"/>
      <c r="S25" s="749"/>
      <c r="T25" s="749"/>
      <c r="U25" s="749"/>
      <c r="V25" s="750"/>
      <c r="W25" s="751"/>
    </row>
    <row r="26" spans="2:25" ht="15" hidden="1" customHeight="1">
      <c r="B26" s="97" t="s">
        <v>248</v>
      </c>
      <c r="C26" s="87" t="s">
        <v>268</v>
      </c>
      <c r="D26" s="747">
        <f t="shared" si="0"/>
        <v>0</v>
      </c>
      <c r="E26" s="747">
        <f t="shared" si="1"/>
        <v>0</v>
      </c>
      <c r="F26" s="749"/>
      <c r="G26" s="749"/>
      <c r="H26" s="749"/>
      <c r="I26" s="749"/>
      <c r="J26" s="749"/>
      <c r="K26" s="749"/>
      <c r="L26" s="749"/>
      <c r="M26" s="749"/>
      <c r="N26" s="749"/>
      <c r="O26" s="749"/>
      <c r="P26" s="749"/>
      <c r="Q26" s="749"/>
      <c r="R26" s="749"/>
      <c r="S26" s="749"/>
      <c r="T26" s="749"/>
      <c r="U26" s="749"/>
      <c r="V26" s="750"/>
      <c r="W26" s="751"/>
    </row>
    <row r="27" spans="2:25" ht="15" hidden="1" customHeight="1">
      <c r="B27" s="254" t="s">
        <v>248</v>
      </c>
      <c r="C27" s="280" t="s">
        <v>15</v>
      </c>
      <c r="D27" s="747">
        <f t="shared" si="0"/>
        <v>0</v>
      </c>
      <c r="E27" s="747">
        <f t="shared" si="1"/>
        <v>0</v>
      </c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50"/>
      <c r="W27" s="751"/>
    </row>
    <row r="28" spans="2:25" ht="15" hidden="1" customHeight="1">
      <c r="B28" s="97" t="s">
        <v>248</v>
      </c>
      <c r="C28" s="87" t="s">
        <v>14</v>
      </c>
      <c r="D28" s="747">
        <f t="shared" si="0"/>
        <v>0</v>
      </c>
      <c r="E28" s="747">
        <f t="shared" si="1"/>
        <v>0</v>
      </c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50"/>
      <c r="W28" s="751"/>
    </row>
    <row r="29" spans="2:25" ht="15" hidden="1" customHeight="1">
      <c r="B29" s="97" t="s">
        <v>377</v>
      </c>
      <c r="C29" s="87" t="s">
        <v>14</v>
      </c>
      <c r="D29" s="747">
        <f t="shared" si="0"/>
        <v>0</v>
      </c>
      <c r="E29" s="747">
        <f t="shared" si="1"/>
        <v>0</v>
      </c>
      <c r="F29" s="789"/>
      <c r="G29" s="789"/>
      <c r="H29" s="789"/>
      <c r="I29" s="789"/>
      <c r="J29" s="789"/>
      <c r="K29" s="789"/>
      <c r="L29" s="789"/>
      <c r="M29" s="789"/>
      <c r="N29" s="789"/>
      <c r="O29" s="789"/>
      <c r="P29" s="789"/>
      <c r="Q29" s="789"/>
      <c r="R29" s="789"/>
      <c r="S29" s="789"/>
      <c r="T29" s="789"/>
      <c r="U29" s="789"/>
      <c r="V29" s="750"/>
      <c r="W29" s="751"/>
    </row>
    <row r="30" spans="2:25" ht="15" customHeight="1">
      <c r="B30" s="97"/>
      <c r="C30" s="87"/>
      <c r="D30" s="747"/>
      <c r="E30" s="747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49"/>
      <c r="R30" s="749"/>
      <c r="S30" s="749"/>
      <c r="T30" s="749"/>
      <c r="U30" s="749"/>
      <c r="V30" s="750"/>
      <c r="W30" s="751"/>
    </row>
    <row r="31" spans="2:25" ht="15" customHeight="1">
      <c r="B31" s="1136" t="s">
        <v>71</v>
      </c>
      <c r="C31" s="1137"/>
      <c r="D31" s="747">
        <f t="shared" ref="D31:W31" si="3">SUM(D13:D29)</f>
        <v>332717857</v>
      </c>
      <c r="E31" s="747">
        <f t="shared" si="3"/>
        <v>342967903</v>
      </c>
      <c r="F31" s="747">
        <f t="shared" si="3"/>
        <v>420000</v>
      </c>
      <c r="G31" s="747">
        <f t="shared" si="3"/>
        <v>420000</v>
      </c>
      <c r="H31" s="747">
        <f t="shared" si="3"/>
        <v>4800000</v>
      </c>
      <c r="I31" s="747">
        <f t="shared" si="3"/>
        <v>10468958</v>
      </c>
      <c r="J31" s="747">
        <f t="shared" si="3"/>
        <v>4834809</v>
      </c>
      <c r="K31" s="747">
        <f t="shared" si="3"/>
        <v>4834809</v>
      </c>
      <c r="L31" s="747">
        <f t="shared" si="3"/>
        <v>0</v>
      </c>
      <c r="M31" s="747">
        <f t="shared" si="3"/>
        <v>0</v>
      </c>
      <c r="N31" s="747">
        <f t="shared" si="3"/>
        <v>0</v>
      </c>
      <c r="O31" s="747">
        <f t="shared" si="3"/>
        <v>0</v>
      </c>
      <c r="P31" s="747">
        <f t="shared" si="3"/>
        <v>0</v>
      </c>
      <c r="Q31" s="747">
        <f t="shared" si="3"/>
        <v>0</v>
      </c>
      <c r="R31" s="747">
        <f t="shared" si="3"/>
        <v>1837200</v>
      </c>
      <c r="S31" s="747">
        <f t="shared" si="3"/>
        <v>1837200</v>
      </c>
      <c r="T31" s="747">
        <f t="shared" si="3"/>
        <v>320825848</v>
      </c>
      <c r="U31" s="747">
        <f t="shared" si="3"/>
        <v>320825848</v>
      </c>
      <c r="V31" s="747">
        <f t="shared" si="3"/>
        <v>0</v>
      </c>
      <c r="W31" s="747">
        <f t="shared" si="3"/>
        <v>4581088</v>
      </c>
      <c r="Y31" s="168"/>
    </row>
    <row r="32" spans="2:25" ht="15" customHeight="1">
      <c r="B32" s="97"/>
      <c r="C32" s="87"/>
      <c r="D32" s="747"/>
      <c r="E32" s="747"/>
      <c r="F32" s="749"/>
      <c r="G32" s="749"/>
      <c r="H32" s="749"/>
      <c r="I32" s="749"/>
      <c r="J32" s="749"/>
      <c r="K32" s="749"/>
      <c r="L32" s="749"/>
      <c r="M32" s="749"/>
      <c r="N32" s="749"/>
      <c r="O32" s="749"/>
      <c r="P32" s="749"/>
      <c r="Q32" s="749"/>
      <c r="R32" s="749"/>
      <c r="S32" s="749"/>
      <c r="T32" s="749"/>
      <c r="U32" s="749"/>
      <c r="V32" s="750"/>
      <c r="W32" s="751"/>
    </row>
    <row r="33" spans="2:23" ht="15" customHeight="1">
      <c r="B33" s="1136" t="s">
        <v>10</v>
      </c>
      <c r="C33" s="1137"/>
      <c r="D33" s="763">
        <f>D14+D16+D17+D19+D23+D24+D26+D27+D28+D20</f>
        <v>332297857</v>
      </c>
      <c r="E33" s="763">
        <f>E14+E16+E17+E19+E23+E24+E26+E27+E28+E20</f>
        <v>342547903</v>
      </c>
      <c r="F33" s="763">
        <f t="shared" ref="F33:Q33" si="4">F14+F16+F19+F23+F24+F26+F27+F28+F20</f>
        <v>0</v>
      </c>
      <c r="G33" s="763">
        <f t="shared" si="4"/>
        <v>0</v>
      </c>
      <c r="H33" s="763">
        <f t="shared" si="4"/>
        <v>4800000</v>
      </c>
      <c r="I33" s="763">
        <f t="shared" si="4"/>
        <v>10468958</v>
      </c>
      <c r="J33" s="763">
        <f t="shared" si="4"/>
        <v>4834809</v>
      </c>
      <c r="K33" s="763">
        <f t="shared" si="4"/>
        <v>4834809</v>
      </c>
      <c r="L33" s="763">
        <f t="shared" si="4"/>
        <v>0</v>
      </c>
      <c r="M33" s="763">
        <f t="shared" si="4"/>
        <v>0</v>
      </c>
      <c r="N33" s="763">
        <f t="shared" si="4"/>
        <v>0</v>
      </c>
      <c r="O33" s="763">
        <f t="shared" si="4"/>
        <v>0</v>
      </c>
      <c r="P33" s="763">
        <f t="shared" si="4"/>
        <v>0</v>
      </c>
      <c r="Q33" s="763">
        <f t="shared" si="4"/>
        <v>0</v>
      </c>
      <c r="R33" s="763">
        <f t="shared" ref="R33:W33" si="5">R14+R16+R19+R23+R24+R26+R27+R28+R20</f>
        <v>0</v>
      </c>
      <c r="S33" s="763">
        <f t="shared" si="5"/>
        <v>0</v>
      </c>
      <c r="T33" s="763">
        <f t="shared" si="5"/>
        <v>320825848</v>
      </c>
      <c r="U33" s="763">
        <f t="shared" si="5"/>
        <v>320825848</v>
      </c>
      <c r="V33" s="763">
        <f t="shared" si="5"/>
        <v>0</v>
      </c>
      <c r="W33" s="763">
        <f t="shared" si="5"/>
        <v>4581088</v>
      </c>
    </row>
    <row r="34" spans="2:23" ht="15" customHeight="1">
      <c r="B34" s="97"/>
      <c r="C34" s="88"/>
      <c r="D34" s="763"/>
      <c r="E34" s="763"/>
      <c r="F34" s="763"/>
      <c r="G34" s="763"/>
      <c r="H34" s="763"/>
      <c r="I34" s="763"/>
      <c r="J34" s="763"/>
      <c r="K34" s="763"/>
      <c r="L34" s="763"/>
      <c r="M34" s="763"/>
      <c r="N34" s="763"/>
      <c r="O34" s="763"/>
      <c r="P34" s="763"/>
      <c r="Q34" s="763"/>
      <c r="R34" s="763"/>
      <c r="S34" s="763"/>
      <c r="T34" s="763"/>
      <c r="U34" s="763"/>
      <c r="V34" s="792"/>
      <c r="W34" s="793"/>
    </row>
    <row r="35" spans="2:23" ht="15" customHeight="1">
      <c r="B35" s="1136" t="s">
        <v>376</v>
      </c>
      <c r="C35" s="1137"/>
      <c r="D35" s="763">
        <f t="shared" ref="D35:W35" si="6">D15+D18+D22+D25+D29</f>
        <v>0</v>
      </c>
      <c r="E35" s="763">
        <f t="shared" si="6"/>
        <v>0</v>
      </c>
      <c r="F35" s="763">
        <f t="shared" si="6"/>
        <v>0</v>
      </c>
      <c r="G35" s="763">
        <f t="shared" si="6"/>
        <v>0</v>
      </c>
      <c r="H35" s="763">
        <f t="shared" si="6"/>
        <v>0</v>
      </c>
      <c r="I35" s="763">
        <f t="shared" si="6"/>
        <v>0</v>
      </c>
      <c r="J35" s="763">
        <f t="shared" si="6"/>
        <v>0</v>
      </c>
      <c r="K35" s="763">
        <f t="shared" si="6"/>
        <v>0</v>
      </c>
      <c r="L35" s="763">
        <f t="shared" si="6"/>
        <v>0</v>
      </c>
      <c r="M35" s="763">
        <f t="shared" si="6"/>
        <v>0</v>
      </c>
      <c r="N35" s="763">
        <f t="shared" si="6"/>
        <v>0</v>
      </c>
      <c r="O35" s="763">
        <f t="shared" si="6"/>
        <v>0</v>
      </c>
      <c r="P35" s="763">
        <f t="shared" si="6"/>
        <v>0</v>
      </c>
      <c r="Q35" s="763">
        <f t="shared" si="6"/>
        <v>0</v>
      </c>
      <c r="R35" s="763">
        <f>R17</f>
        <v>1837200</v>
      </c>
      <c r="S35" s="763">
        <f>S17</f>
        <v>1837200</v>
      </c>
      <c r="T35" s="763">
        <f t="shared" si="6"/>
        <v>0</v>
      </c>
      <c r="U35" s="763">
        <f t="shared" si="6"/>
        <v>0</v>
      </c>
      <c r="V35" s="763">
        <f t="shared" si="6"/>
        <v>0</v>
      </c>
      <c r="W35" s="763">
        <f t="shared" si="6"/>
        <v>0</v>
      </c>
    </row>
    <row r="36" spans="2:23" ht="15" customHeight="1">
      <c r="B36" s="97"/>
      <c r="C36" s="88"/>
      <c r="D36" s="763"/>
      <c r="E36" s="763"/>
      <c r="F36" s="763"/>
      <c r="G36" s="763"/>
      <c r="H36" s="763"/>
      <c r="I36" s="763"/>
      <c r="J36" s="763"/>
      <c r="K36" s="763"/>
      <c r="L36" s="763"/>
      <c r="M36" s="763"/>
      <c r="N36" s="763"/>
      <c r="O36" s="763"/>
      <c r="P36" s="763"/>
      <c r="Q36" s="763"/>
      <c r="R36" s="763"/>
      <c r="S36" s="763"/>
      <c r="T36" s="763"/>
      <c r="U36" s="763"/>
      <c r="V36" s="792"/>
      <c r="W36" s="793"/>
    </row>
    <row r="37" spans="2:23" ht="15" customHeight="1" thickBot="1">
      <c r="B37" s="1172" t="s">
        <v>435</v>
      </c>
      <c r="C37" s="1173"/>
      <c r="D37" s="794">
        <f>D21+D13</f>
        <v>420000</v>
      </c>
      <c r="E37" s="794">
        <f t="shared" ref="E37:W37" si="7">E21+E13</f>
        <v>420000</v>
      </c>
      <c r="F37" s="794">
        <f t="shared" si="7"/>
        <v>420000</v>
      </c>
      <c r="G37" s="794">
        <f t="shared" si="7"/>
        <v>420000</v>
      </c>
      <c r="H37" s="794">
        <f t="shared" si="7"/>
        <v>0</v>
      </c>
      <c r="I37" s="794">
        <f t="shared" si="7"/>
        <v>0</v>
      </c>
      <c r="J37" s="794">
        <f t="shared" si="7"/>
        <v>0</v>
      </c>
      <c r="K37" s="794">
        <f t="shared" si="7"/>
        <v>0</v>
      </c>
      <c r="L37" s="794">
        <f t="shared" si="7"/>
        <v>0</v>
      </c>
      <c r="M37" s="794">
        <f t="shared" si="7"/>
        <v>0</v>
      </c>
      <c r="N37" s="794">
        <f t="shared" si="7"/>
        <v>0</v>
      </c>
      <c r="O37" s="794">
        <f t="shared" si="7"/>
        <v>0</v>
      </c>
      <c r="P37" s="794">
        <f t="shared" si="7"/>
        <v>0</v>
      </c>
      <c r="Q37" s="794">
        <f t="shared" si="7"/>
        <v>0</v>
      </c>
      <c r="R37" s="794">
        <f t="shared" si="7"/>
        <v>0</v>
      </c>
      <c r="S37" s="794">
        <f t="shared" si="7"/>
        <v>0</v>
      </c>
      <c r="T37" s="794">
        <f t="shared" si="7"/>
        <v>0</v>
      </c>
      <c r="U37" s="794">
        <f t="shared" si="7"/>
        <v>0</v>
      </c>
      <c r="V37" s="794">
        <f t="shared" si="7"/>
        <v>0</v>
      </c>
      <c r="W37" s="794">
        <f t="shared" si="7"/>
        <v>0</v>
      </c>
    </row>
    <row r="38" spans="2:23"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</row>
    <row r="39" spans="2:23">
      <c r="D39" s="772">
        <f>D33+D35+D37</f>
        <v>332717857</v>
      </c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</row>
  </sheetData>
  <mergeCells count="21">
    <mergeCell ref="G1:L1"/>
    <mergeCell ref="D8:E10"/>
    <mergeCell ref="F9:G10"/>
    <mergeCell ref="H9:I10"/>
    <mergeCell ref="J9:K10"/>
    <mergeCell ref="B4:W4"/>
    <mergeCell ref="T8:W8"/>
    <mergeCell ref="N8:S8"/>
    <mergeCell ref="N9:O10"/>
    <mergeCell ref="R9:S10"/>
    <mergeCell ref="L9:M10"/>
    <mergeCell ref="T9:U10"/>
    <mergeCell ref="V9:W10"/>
    <mergeCell ref="F8:M8"/>
    <mergeCell ref="B8:C11"/>
    <mergeCell ref="P9:Q10"/>
    <mergeCell ref="B37:C37"/>
    <mergeCell ref="B12:C12"/>
    <mergeCell ref="B31:C31"/>
    <mergeCell ref="B33:C33"/>
    <mergeCell ref="B35:C35"/>
  </mergeCells>
  <pageMargins left="0.15748031496062992" right="0.15748031496062992" top="0.74803149606299213" bottom="0.74803149606299213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4499-B045-465B-BE75-83DDF3F07EA8}">
  <sheetPr>
    <pageSetUpPr fitToPage="1"/>
  </sheetPr>
  <dimension ref="A1:AD173"/>
  <sheetViews>
    <sheetView workbookViewId="0">
      <selection activeCell="F17" sqref="F17"/>
    </sheetView>
  </sheetViews>
  <sheetFormatPr defaultRowHeight="12.75"/>
  <cols>
    <col min="1" max="1" width="10.42578125" customWidth="1"/>
    <col min="2" max="2" width="33" customWidth="1"/>
    <col min="3" max="3" width="9.42578125" bestFit="1" customWidth="1"/>
    <col min="4" max="6" width="9.42578125" customWidth="1"/>
    <col min="7" max="7" width="8.5703125" bestFit="1" customWidth="1"/>
    <col min="8" max="8" width="8.5703125" customWidth="1"/>
    <col min="9" max="9" width="9.42578125" customWidth="1"/>
    <col min="10" max="10" width="8.42578125" customWidth="1"/>
    <col min="11" max="11" width="9.42578125" customWidth="1"/>
    <col min="12" max="12" width="7.140625" customWidth="1"/>
    <col min="13" max="13" width="6.7109375" customWidth="1"/>
    <col min="14" max="14" width="8.42578125" customWidth="1"/>
    <col min="15" max="15" width="9.42578125" customWidth="1"/>
    <col min="16" max="16" width="7.7109375" customWidth="1"/>
    <col min="17" max="17" width="9.42578125" customWidth="1"/>
    <col min="18" max="18" width="7.28515625" customWidth="1"/>
    <col min="19" max="19" width="9.42578125" customWidth="1"/>
    <col min="20" max="20" width="7.5703125" customWidth="1"/>
    <col min="21" max="21" width="9.42578125" customWidth="1"/>
    <col min="22" max="22" width="7.7109375" customWidth="1"/>
    <col min="23" max="23" width="9.42578125" customWidth="1"/>
    <col min="24" max="24" width="7.42578125" customWidth="1"/>
    <col min="25" max="25" width="9.42578125" customWidth="1"/>
    <col min="26" max="26" width="7.28515625" customWidth="1"/>
    <col min="27" max="27" width="9.42578125" customWidth="1"/>
    <col min="28" max="28" width="7.140625" customWidth="1"/>
  </cols>
  <sheetData>
    <row r="1" spans="1:30">
      <c r="B1" s="158" t="str">
        <f>'bev-int'!B1</f>
        <v>melléklet a …/2024. (.  .) önkormányzati rendelethez</v>
      </c>
    </row>
    <row r="4" spans="1:30" s="73" customFormat="1" ht="21.95" customHeight="1">
      <c r="A4" s="78"/>
      <c r="B4" s="1177" t="s">
        <v>699</v>
      </c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7"/>
      <c r="N4" s="1177"/>
      <c r="O4" s="1177"/>
      <c r="P4" s="1177"/>
      <c r="Q4" s="1177"/>
      <c r="R4" s="1177"/>
      <c r="S4" s="1177"/>
      <c r="T4" s="1177"/>
      <c r="U4" s="1177"/>
      <c r="V4" s="1177"/>
      <c r="W4" s="1177"/>
      <c r="X4" s="1177"/>
      <c r="Y4" s="79"/>
      <c r="Z4" s="79"/>
      <c r="AA4" s="78"/>
      <c r="AB4" s="78"/>
    </row>
    <row r="5" spans="1:30" s="73" customFormat="1" ht="21.95" customHeight="1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8"/>
      <c r="AB5" s="78"/>
    </row>
    <row r="6" spans="1:30" s="73" customFormat="1" ht="21.95" customHeight="1">
      <c r="A6" s="78"/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178"/>
      <c r="N6" s="1178"/>
      <c r="O6" s="1178"/>
      <c r="P6" s="1178"/>
      <c r="Q6" s="1178"/>
      <c r="R6" s="1178"/>
      <c r="S6" s="1178"/>
      <c r="T6" s="1178"/>
      <c r="U6" s="1178"/>
      <c r="V6" s="1178"/>
      <c r="W6" s="1178"/>
      <c r="X6" s="1178"/>
      <c r="Y6" s="80"/>
      <c r="Z6" s="80"/>
      <c r="AA6" s="78"/>
      <c r="AB6" s="78"/>
    </row>
    <row r="7" spans="1:30" s="73" customFormat="1" ht="21.95" customHeight="1" thickBo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81"/>
      <c r="T7" s="81"/>
      <c r="U7" s="82"/>
      <c r="V7" s="82"/>
      <c r="W7" s="82"/>
      <c r="X7" s="82"/>
      <c r="Y7" s="410"/>
      <c r="Z7" s="110"/>
      <c r="AA7" s="129" t="s">
        <v>641</v>
      </c>
      <c r="AB7" s="82"/>
    </row>
    <row r="8" spans="1:30" s="74" customFormat="1" ht="21.95" customHeight="1">
      <c r="A8" s="1149" t="s">
        <v>55</v>
      </c>
      <c r="B8" s="1181"/>
      <c r="C8" s="1149" t="s">
        <v>236</v>
      </c>
      <c r="D8" s="1185"/>
      <c r="E8" s="1184" t="s">
        <v>237</v>
      </c>
      <c r="F8" s="1158"/>
      <c r="G8" s="1158"/>
      <c r="H8" s="1158"/>
      <c r="I8" s="1158"/>
      <c r="J8" s="1158"/>
      <c r="K8" s="1158"/>
      <c r="L8" s="1158"/>
      <c r="M8" s="1158"/>
      <c r="N8" s="1158"/>
      <c r="O8" s="1158"/>
      <c r="P8" s="1159"/>
      <c r="Q8" s="1158" t="s">
        <v>129</v>
      </c>
      <c r="R8" s="1158"/>
      <c r="S8" s="1158"/>
      <c r="T8" s="1158"/>
      <c r="U8" s="1158"/>
      <c r="V8" s="1158"/>
      <c r="W8" s="1158"/>
      <c r="X8" s="1158"/>
      <c r="Y8" s="1184" t="s">
        <v>77</v>
      </c>
      <c r="Z8" s="1158"/>
      <c r="AA8" s="1158"/>
      <c r="AB8" s="1159"/>
    </row>
    <row r="9" spans="1:30" s="74" customFormat="1" ht="21.95" customHeight="1">
      <c r="A9" s="1151"/>
      <c r="B9" s="1182"/>
      <c r="C9" s="1151"/>
      <c r="D9" s="1186"/>
      <c r="E9" s="1189" t="s">
        <v>63</v>
      </c>
      <c r="F9" s="1141"/>
      <c r="G9" s="1140" t="s">
        <v>238</v>
      </c>
      <c r="H9" s="1141"/>
      <c r="I9" s="1140" t="s">
        <v>239</v>
      </c>
      <c r="J9" s="1141"/>
      <c r="K9" s="1140" t="s">
        <v>137</v>
      </c>
      <c r="L9" s="1141"/>
      <c r="M9" s="1140" t="s">
        <v>548</v>
      </c>
      <c r="N9" s="1141"/>
      <c r="O9" s="1140" t="s">
        <v>242</v>
      </c>
      <c r="P9" s="1155"/>
      <c r="Q9" s="1193" t="s">
        <v>243</v>
      </c>
      <c r="R9" s="1194"/>
      <c r="S9" s="1197" t="s">
        <v>244</v>
      </c>
      <c r="T9" s="1194"/>
      <c r="U9" s="1140" t="s">
        <v>35</v>
      </c>
      <c r="V9" s="1141"/>
      <c r="W9" s="1144" t="s">
        <v>245</v>
      </c>
      <c r="X9" s="1203"/>
      <c r="Y9" s="1199" t="s">
        <v>267</v>
      </c>
      <c r="Z9" s="1145"/>
      <c r="AA9" s="1140" t="s">
        <v>246</v>
      </c>
      <c r="AB9" s="1155"/>
    </row>
    <row r="10" spans="1:30" s="74" customFormat="1" ht="36" customHeight="1">
      <c r="A10" s="1151"/>
      <c r="B10" s="1182"/>
      <c r="C10" s="1187"/>
      <c r="D10" s="1188"/>
      <c r="E10" s="1190"/>
      <c r="F10" s="1191"/>
      <c r="G10" s="1192"/>
      <c r="H10" s="1191"/>
      <c r="I10" s="1192"/>
      <c r="J10" s="1191"/>
      <c r="K10" s="1192"/>
      <c r="L10" s="1191"/>
      <c r="M10" s="1192"/>
      <c r="N10" s="1191"/>
      <c r="O10" s="1192"/>
      <c r="P10" s="1202"/>
      <c r="Q10" s="1195"/>
      <c r="R10" s="1196"/>
      <c r="S10" s="1198"/>
      <c r="T10" s="1196"/>
      <c r="U10" s="1192"/>
      <c r="V10" s="1191"/>
      <c r="W10" s="1204"/>
      <c r="X10" s="1205"/>
      <c r="Y10" s="1200"/>
      <c r="Z10" s="1201"/>
      <c r="AA10" s="1192"/>
      <c r="AB10" s="1202"/>
    </row>
    <row r="11" spans="1:30" s="129" customFormat="1" ht="18.75" customHeight="1" thickBot="1">
      <c r="A11" s="1153"/>
      <c r="B11" s="1183"/>
      <c r="C11" s="275" t="s">
        <v>438</v>
      </c>
      <c r="D11" s="272" t="s">
        <v>439</v>
      </c>
      <c r="E11" s="275" t="s">
        <v>438</v>
      </c>
      <c r="F11" s="271" t="s">
        <v>439</v>
      </c>
      <c r="G11" s="270" t="s">
        <v>438</v>
      </c>
      <c r="H11" s="271" t="s">
        <v>439</v>
      </c>
      <c r="I11" s="270" t="s">
        <v>438</v>
      </c>
      <c r="J11" s="271" t="s">
        <v>439</v>
      </c>
      <c r="K11" s="270" t="s">
        <v>438</v>
      </c>
      <c r="L11" s="271" t="s">
        <v>439</v>
      </c>
      <c r="M11" s="270" t="s">
        <v>438</v>
      </c>
      <c r="N11" s="271" t="s">
        <v>439</v>
      </c>
      <c r="O11" s="270" t="s">
        <v>438</v>
      </c>
      <c r="P11" s="272" t="s">
        <v>439</v>
      </c>
      <c r="Q11" s="278" t="s">
        <v>438</v>
      </c>
      <c r="R11" s="271" t="s">
        <v>439</v>
      </c>
      <c r="S11" s="270" t="s">
        <v>438</v>
      </c>
      <c r="T11" s="271" t="s">
        <v>439</v>
      </c>
      <c r="U11" s="270" t="s">
        <v>438</v>
      </c>
      <c r="V11" s="271" t="s">
        <v>439</v>
      </c>
      <c r="W11" s="270" t="s">
        <v>438</v>
      </c>
      <c r="X11" s="274" t="s">
        <v>439</v>
      </c>
      <c r="Y11" s="276" t="s">
        <v>438</v>
      </c>
      <c r="Z11" s="263" t="s">
        <v>439</v>
      </c>
      <c r="AA11" s="273" t="s">
        <v>438</v>
      </c>
      <c r="AB11" s="264" t="s">
        <v>439</v>
      </c>
    </row>
    <row r="12" spans="1:30" s="74" customFormat="1" ht="12.75" customHeight="1">
      <c r="A12" s="1179"/>
      <c r="B12" s="1180"/>
      <c r="C12" s="797"/>
      <c r="D12" s="798"/>
      <c r="E12" s="799"/>
      <c r="F12" s="800"/>
      <c r="G12" s="800"/>
      <c r="H12" s="800"/>
      <c r="I12" s="800"/>
      <c r="J12" s="800"/>
      <c r="K12" s="800"/>
      <c r="L12" s="800"/>
      <c r="M12" s="800"/>
      <c r="N12" s="800"/>
      <c r="O12" s="800"/>
      <c r="P12" s="801"/>
      <c r="Q12" s="802"/>
      <c r="R12" s="800"/>
      <c r="S12" s="800"/>
      <c r="T12" s="800"/>
      <c r="U12" s="800"/>
      <c r="V12" s="800"/>
      <c r="W12" s="800"/>
      <c r="X12" s="803"/>
      <c r="Y12" s="799"/>
      <c r="Z12" s="800"/>
      <c r="AA12" s="788"/>
      <c r="AB12" s="804"/>
      <c r="AC12" s="770"/>
      <c r="AD12" s="770"/>
    </row>
    <row r="13" spans="1:30" s="74" customFormat="1" ht="15.95" customHeight="1">
      <c r="A13" s="97" t="s">
        <v>248</v>
      </c>
      <c r="B13" s="279" t="s">
        <v>627</v>
      </c>
      <c r="C13" s="855">
        <f>E13+G13+I13+K13+M13+O13+Q13+S13+U13+W13+Y13+AA13</f>
        <v>48248622</v>
      </c>
      <c r="D13" s="1084">
        <f>F13+H13+J13+L13+N13+P13+R13+T13+V13+X13+Z13+AB13</f>
        <v>48248622</v>
      </c>
      <c r="E13" s="805">
        <v>41227878</v>
      </c>
      <c r="F13" s="1085">
        <v>41227878</v>
      </c>
      <c r="G13" s="749">
        <v>5780544</v>
      </c>
      <c r="H13" s="749">
        <v>5780544</v>
      </c>
      <c r="I13" s="749">
        <v>1240200</v>
      </c>
      <c r="J13" s="749">
        <v>1240200</v>
      </c>
      <c r="K13" s="749"/>
      <c r="L13" s="749"/>
      <c r="M13" s="749"/>
      <c r="N13" s="749"/>
      <c r="O13" s="749"/>
      <c r="P13" s="806"/>
      <c r="Q13" s="807"/>
      <c r="R13" s="749"/>
      <c r="S13" s="749"/>
      <c r="T13" s="749"/>
      <c r="U13" s="749"/>
      <c r="V13" s="749"/>
      <c r="W13" s="749"/>
      <c r="X13" s="808"/>
      <c r="Y13" s="809"/>
      <c r="Z13" s="749"/>
      <c r="AA13" s="750"/>
      <c r="AB13" s="751"/>
      <c r="AC13" s="770"/>
      <c r="AD13" s="770"/>
    </row>
    <row r="14" spans="1:30" s="74" customFormat="1" ht="15.95" customHeight="1">
      <c r="A14" s="97" t="s">
        <v>248</v>
      </c>
      <c r="B14" s="279" t="s">
        <v>11</v>
      </c>
      <c r="C14" s="855">
        <f>E14+G14+I14+K14+M14+O14+Q14+S14+U14+W14+Y14+AA14</f>
        <v>91697781</v>
      </c>
      <c r="D14" s="1084">
        <f>F14+H14+J14+L14+N14+P14+R14+T14+V14+X14+Z14+AB14</f>
        <v>96493081</v>
      </c>
      <c r="E14" s="805">
        <v>62376227</v>
      </c>
      <c r="F14" s="1085">
        <v>63001348</v>
      </c>
      <c r="G14" s="749">
        <v>10022284</v>
      </c>
      <c r="H14" s="749">
        <v>10022284</v>
      </c>
      <c r="I14" s="749">
        <v>11733870</v>
      </c>
      <c r="J14" s="749">
        <v>15904049</v>
      </c>
      <c r="K14" s="749"/>
      <c r="L14" s="749"/>
      <c r="M14" s="749"/>
      <c r="N14" s="749"/>
      <c r="O14" s="749"/>
      <c r="P14" s="806"/>
      <c r="Q14" s="807"/>
      <c r="R14" s="749"/>
      <c r="S14" s="749">
        <v>7565400</v>
      </c>
      <c r="T14" s="749">
        <v>7565400</v>
      </c>
      <c r="U14" s="749"/>
      <c r="V14" s="749"/>
      <c r="W14" s="749"/>
      <c r="X14" s="808"/>
      <c r="Y14" s="809"/>
      <c r="Z14" s="749"/>
      <c r="AA14" s="750"/>
      <c r="AB14" s="751"/>
      <c r="AC14" s="770"/>
      <c r="AD14" s="770"/>
    </row>
    <row r="15" spans="1:30" s="74" customFormat="1" ht="34.5" customHeight="1">
      <c r="A15" s="97" t="s">
        <v>377</v>
      </c>
      <c r="B15" s="482" t="s">
        <v>503</v>
      </c>
      <c r="C15" s="855">
        <f t="shared" ref="C15:C30" si="0">E15+G15+I15+K15+M15+O15+Q15+S15+U15+W15+Y15+AA15</f>
        <v>2000000</v>
      </c>
      <c r="D15" s="1084">
        <f t="shared" ref="D15:D30" si="1">F15+H15+J15+L15+N15+P15+R15+T15+V15+X15+Z15+AB15</f>
        <v>2000000</v>
      </c>
      <c r="E15" s="805"/>
      <c r="F15" s="1085"/>
      <c r="G15" s="749"/>
      <c r="H15" s="749"/>
      <c r="I15" s="749"/>
      <c r="J15" s="749"/>
      <c r="K15" s="749"/>
      <c r="L15" s="749"/>
      <c r="M15" s="749"/>
      <c r="N15" s="749"/>
      <c r="O15" s="749"/>
      <c r="P15" s="806"/>
      <c r="Q15" s="807"/>
      <c r="R15" s="749"/>
      <c r="S15" s="749"/>
      <c r="T15" s="749"/>
      <c r="U15" s="749">
        <v>2000000</v>
      </c>
      <c r="V15" s="749">
        <v>2000000</v>
      </c>
      <c r="W15" s="749"/>
      <c r="X15" s="808"/>
      <c r="Y15" s="809"/>
      <c r="Z15" s="749"/>
      <c r="AA15" s="750"/>
      <c r="AB15" s="751"/>
      <c r="AC15" s="770"/>
      <c r="AD15" s="770"/>
    </row>
    <row r="16" spans="1:30" s="74" customFormat="1" ht="15.95" customHeight="1">
      <c r="A16" s="97" t="s">
        <v>248</v>
      </c>
      <c r="B16" s="279" t="s">
        <v>12</v>
      </c>
      <c r="C16" s="855">
        <f t="shared" si="0"/>
        <v>16645467</v>
      </c>
      <c r="D16" s="1084">
        <f t="shared" si="1"/>
        <v>16694467</v>
      </c>
      <c r="E16" s="805">
        <v>12733026</v>
      </c>
      <c r="F16" s="1085">
        <v>12782026</v>
      </c>
      <c r="G16" s="749">
        <v>1659275</v>
      </c>
      <c r="H16" s="749">
        <v>1659275</v>
      </c>
      <c r="I16" s="749">
        <v>2253166</v>
      </c>
      <c r="J16" s="749">
        <v>2253166</v>
      </c>
      <c r="K16" s="749"/>
      <c r="L16" s="749"/>
      <c r="M16" s="749"/>
      <c r="N16" s="749"/>
      <c r="O16" s="749"/>
      <c r="P16" s="806"/>
      <c r="Q16" s="807"/>
      <c r="R16" s="749"/>
      <c r="S16" s="749"/>
      <c r="T16" s="749"/>
      <c r="U16" s="749"/>
      <c r="V16" s="749"/>
      <c r="W16" s="749"/>
      <c r="X16" s="808"/>
      <c r="Y16" s="809"/>
      <c r="Z16" s="749"/>
      <c r="AA16" s="750"/>
      <c r="AB16" s="751"/>
      <c r="AC16" s="770"/>
      <c r="AD16" s="770"/>
    </row>
    <row r="17" spans="1:30" s="74" customFormat="1" ht="15.95" customHeight="1">
      <c r="A17" s="97" t="s">
        <v>248</v>
      </c>
      <c r="B17" s="279" t="s">
        <v>282</v>
      </c>
      <c r="C17" s="855">
        <f t="shared" si="0"/>
        <v>23294498</v>
      </c>
      <c r="D17" s="1084">
        <f t="shared" si="1"/>
        <v>23343498</v>
      </c>
      <c r="E17" s="805">
        <v>17413939</v>
      </c>
      <c r="F17" s="1085">
        <v>17462939</v>
      </c>
      <c r="G17" s="749">
        <v>2360583</v>
      </c>
      <c r="H17" s="749">
        <v>2360583</v>
      </c>
      <c r="I17" s="749">
        <v>3519976</v>
      </c>
      <c r="J17" s="749">
        <v>3519976</v>
      </c>
      <c r="K17" s="749"/>
      <c r="L17" s="749"/>
      <c r="M17" s="749"/>
      <c r="N17" s="749"/>
      <c r="O17" s="749"/>
      <c r="P17" s="806"/>
      <c r="Q17" s="807"/>
      <c r="R17" s="749"/>
      <c r="S17" s="749"/>
      <c r="T17" s="749"/>
      <c r="U17" s="749"/>
      <c r="V17" s="749"/>
      <c r="W17" s="749"/>
      <c r="X17" s="808"/>
      <c r="Y17" s="809"/>
      <c r="Z17" s="749"/>
      <c r="AA17" s="750"/>
      <c r="AB17" s="751"/>
      <c r="AC17" s="770"/>
      <c r="AD17" s="770"/>
    </row>
    <row r="18" spans="1:30" s="74" customFormat="1" ht="15.95" customHeight="1">
      <c r="A18" s="97" t="s">
        <v>248</v>
      </c>
      <c r="B18" s="279" t="s">
        <v>269</v>
      </c>
      <c r="C18" s="855">
        <f t="shared" si="0"/>
        <v>9470327</v>
      </c>
      <c r="D18" s="1084">
        <f t="shared" si="1"/>
        <v>9519327</v>
      </c>
      <c r="E18" s="805">
        <v>7352113</v>
      </c>
      <c r="F18" s="1085">
        <v>7401113</v>
      </c>
      <c r="G18" s="749">
        <v>985072</v>
      </c>
      <c r="H18" s="749">
        <v>985072</v>
      </c>
      <c r="I18" s="749">
        <v>1133142</v>
      </c>
      <c r="J18" s="749">
        <v>1133142</v>
      </c>
      <c r="K18" s="749"/>
      <c r="L18" s="749"/>
      <c r="M18" s="749"/>
      <c r="N18" s="749"/>
      <c r="O18" s="749"/>
      <c r="P18" s="806"/>
      <c r="Q18" s="807"/>
      <c r="R18" s="749"/>
      <c r="S18" s="749"/>
      <c r="T18" s="749"/>
      <c r="U18" s="749"/>
      <c r="V18" s="749"/>
      <c r="W18" s="749"/>
      <c r="X18" s="808"/>
      <c r="Y18" s="809"/>
      <c r="Z18" s="749"/>
      <c r="AA18" s="750"/>
      <c r="AB18" s="751"/>
      <c r="AC18" s="770"/>
      <c r="AD18" s="770"/>
    </row>
    <row r="19" spans="1:30" s="74" customFormat="1" ht="15.95" customHeight="1">
      <c r="A19" s="97" t="s">
        <v>248</v>
      </c>
      <c r="B19" s="279" t="s">
        <v>283</v>
      </c>
      <c r="C19" s="855">
        <f t="shared" si="0"/>
        <v>91544294</v>
      </c>
      <c r="D19" s="1084">
        <f t="shared" si="1"/>
        <v>92135294</v>
      </c>
      <c r="E19" s="805">
        <v>67986634</v>
      </c>
      <c r="F19" s="1085">
        <v>68577634</v>
      </c>
      <c r="G19" s="749">
        <v>9073376</v>
      </c>
      <c r="H19" s="749">
        <v>9073376</v>
      </c>
      <c r="I19" s="749">
        <v>14484284</v>
      </c>
      <c r="J19" s="749">
        <v>14484284</v>
      </c>
      <c r="K19" s="749"/>
      <c r="L19" s="749"/>
      <c r="M19" s="749"/>
      <c r="N19" s="749"/>
      <c r="O19" s="749"/>
      <c r="P19" s="806"/>
      <c r="Q19" s="807"/>
      <c r="R19" s="749"/>
      <c r="S19" s="749"/>
      <c r="T19" s="749"/>
      <c r="U19" s="749"/>
      <c r="V19" s="749"/>
      <c r="W19" s="749"/>
      <c r="X19" s="808"/>
      <c r="Y19" s="809"/>
      <c r="Z19" s="749"/>
      <c r="AA19" s="750"/>
      <c r="AB19" s="751"/>
      <c r="AC19" s="770"/>
      <c r="AD19" s="770"/>
    </row>
    <row r="20" spans="1:30" s="74" customFormat="1" ht="15.95" customHeight="1">
      <c r="A20" s="97" t="s">
        <v>248</v>
      </c>
      <c r="B20" s="87" t="s">
        <v>562</v>
      </c>
      <c r="C20" s="855">
        <f>E20+G20+I20+K20+M20+O20+Q20+S20+U20+W20+Y20+AA20</f>
        <v>0</v>
      </c>
      <c r="D20" s="1084">
        <f>F20+H20+J20+L20+N20+P20+R20+T20+V20+X20+Z20+AB20</f>
        <v>0</v>
      </c>
      <c r="E20" s="805"/>
      <c r="F20" s="1085"/>
      <c r="G20" s="749"/>
      <c r="H20" s="749"/>
      <c r="I20" s="749"/>
      <c r="J20" s="749"/>
      <c r="K20" s="749"/>
      <c r="L20" s="749"/>
      <c r="M20" s="749"/>
      <c r="N20" s="749"/>
      <c r="O20" s="749"/>
      <c r="P20" s="806"/>
      <c r="Q20" s="807"/>
      <c r="R20" s="749"/>
      <c r="S20" s="749"/>
      <c r="T20" s="749"/>
      <c r="U20" s="749"/>
      <c r="V20" s="749"/>
      <c r="W20" s="749"/>
      <c r="X20" s="808"/>
      <c r="Y20" s="809"/>
      <c r="Z20" s="749"/>
      <c r="AA20" s="750"/>
      <c r="AB20" s="751"/>
      <c r="AC20" s="770"/>
      <c r="AD20" s="770"/>
    </row>
    <row r="21" spans="1:30" s="74" customFormat="1" ht="15.95" hidden="1" customHeight="1">
      <c r="A21" s="97"/>
      <c r="B21" s="87"/>
      <c r="C21" s="855">
        <f>E21+G21+I21+K21+M21+O21+Q21+S21+U21+W21+Y21+AA21</f>
        <v>0</v>
      </c>
      <c r="D21" s="1084">
        <f>F21+H21+J21+L21+N21+P21+R21+T21+V21+X21+Z21+AB21</f>
        <v>0</v>
      </c>
      <c r="E21" s="805"/>
      <c r="F21" s="1085"/>
      <c r="G21" s="749"/>
      <c r="H21" s="749"/>
      <c r="I21" s="749"/>
      <c r="J21" s="749"/>
      <c r="K21" s="749"/>
      <c r="L21" s="749"/>
      <c r="M21" s="749"/>
      <c r="N21" s="749"/>
      <c r="O21" s="749"/>
      <c r="P21" s="806"/>
      <c r="Q21" s="807"/>
      <c r="R21" s="749"/>
      <c r="S21" s="749"/>
      <c r="T21" s="749"/>
      <c r="U21" s="749"/>
      <c r="V21" s="749"/>
      <c r="W21" s="749"/>
      <c r="X21" s="808"/>
      <c r="Y21" s="809"/>
      <c r="Z21" s="749"/>
      <c r="AA21" s="750"/>
      <c r="AB21" s="751"/>
      <c r="AC21" s="770"/>
      <c r="AD21" s="770"/>
    </row>
    <row r="22" spans="1:30" s="74" customFormat="1" ht="15.95" customHeight="1">
      <c r="A22" s="97" t="s">
        <v>437</v>
      </c>
      <c r="B22" s="279" t="s">
        <v>13</v>
      </c>
      <c r="C22" s="855">
        <f t="shared" si="0"/>
        <v>9578217</v>
      </c>
      <c r="D22" s="1084">
        <f t="shared" si="1"/>
        <v>9578217</v>
      </c>
      <c r="E22" s="805">
        <v>7066113</v>
      </c>
      <c r="F22" s="1085">
        <v>7066113</v>
      </c>
      <c r="G22" s="749">
        <v>970812</v>
      </c>
      <c r="H22" s="749">
        <v>970812</v>
      </c>
      <c r="I22" s="749">
        <v>1541292</v>
      </c>
      <c r="J22" s="749">
        <v>1541292</v>
      </c>
      <c r="K22" s="749"/>
      <c r="L22" s="749"/>
      <c r="M22" s="749"/>
      <c r="N22" s="749"/>
      <c r="O22" s="749"/>
      <c r="P22" s="806"/>
      <c r="Q22" s="807"/>
      <c r="R22" s="749"/>
      <c r="S22" s="749"/>
      <c r="T22" s="749"/>
      <c r="U22" s="749"/>
      <c r="V22" s="749"/>
      <c r="W22" s="749"/>
      <c r="X22" s="808"/>
      <c r="Y22" s="809"/>
      <c r="Z22" s="749"/>
      <c r="AA22" s="750"/>
      <c r="AB22" s="751"/>
      <c r="AC22" s="770"/>
      <c r="AD22" s="770"/>
    </row>
    <row r="23" spans="1:30" s="74" customFormat="1" ht="15.95" customHeight="1">
      <c r="A23" s="97" t="s">
        <v>248</v>
      </c>
      <c r="B23" s="87" t="s">
        <v>252</v>
      </c>
      <c r="C23" s="855">
        <f>E23+G23+I23+K23+M23+O23+Q23+S23+U23+W23+Y23+AA23</f>
        <v>0</v>
      </c>
      <c r="D23" s="1084">
        <f>F23+H23+J23+L23+N23+P23+R23+T23+V23+X23+Z23+AB23</f>
        <v>0</v>
      </c>
      <c r="E23" s="805"/>
      <c r="F23" s="1085"/>
      <c r="G23" s="749"/>
      <c r="H23" s="749"/>
      <c r="I23" s="749"/>
      <c r="J23" s="749"/>
      <c r="K23" s="749"/>
      <c r="L23" s="749"/>
      <c r="M23" s="749"/>
      <c r="N23" s="749"/>
      <c r="O23" s="749"/>
      <c r="P23" s="806"/>
      <c r="Q23" s="807"/>
      <c r="R23" s="749"/>
      <c r="S23" s="749"/>
      <c r="T23" s="749"/>
      <c r="U23" s="749"/>
      <c r="V23" s="749"/>
      <c r="W23" s="749"/>
      <c r="X23" s="808"/>
      <c r="Y23" s="809"/>
      <c r="Z23" s="749"/>
      <c r="AA23" s="750"/>
      <c r="AB23" s="751"/>
      <c r="AC23" s="770"/>
      <c r="AD23" s="770"/>
    </row>
    <row r="24" spans="1:30" s="74" customFormat="1" ht="15.95" customHeight="1">
      <c r="A24" s="500" t="s">
        <v>248</v>
      </c>
      <c r="B24" s="279" t="s">
        <v>253</v>
      </c>
      <c r="C24" s="855">
        <f t="shared" si="0"/>
        <v>14178992</v>
      </c>
      <c r="D24" s="1084">
        <f t="shared" si="1"/>
        <v>14228992</v>
      </c>
      <c r="E24" s="805">
        <v>10434626</v>
      </c>
      <c r="F24" s="1085">
        <v>10484626</v>
      </c>
      <c r="G24" s="749">
        <v>1346455</v>
      </c>
      <c r="H24" s="749">
        <v>1346455</v>
      </c>
      <c r="I24" s="749">
        <v>2397911</v>
      </c>
      <c r="J24" s="749">
        <v>2397911</v>
      </c>
      <c r="K24" s="749"/>
      <c r="L24" s="749"/>
      <c r="M24" s="749"/>
      <c r="N24" s="749"/>
      <c r="O24" s="749"/>
      <c r="P24" s="806"/>
      <c r="Q24" s="807"/>
      <c r="R24" s="749"/>
      <c r="S24" s="749"/>
      <c r="T24" s="749"/>
      <c r="U24" s="749"/>
      <c r="V24" s="749"/>
      <c r="W24" s="749"/>
      <c r="X24" s="808"/>
      <c r="Y24" s="809"/>
      <c r="Z24" s="749"/>
      <c r="AA24" s="750"/>
      <c r="AB24" s="751"/>
      <c r="AC24" s="770"/>
      <c r="AD24" s="770"/>
    </row>
    <row r="25" spans="1:30" s="74" customFormat="1" ht="15.95" customHeight="1">
      <c r="A25" s="97" t="s">
        <v>248</v>
      </c>
      <c r="B25" s="481" t="s">
        <v>873</v>
      </c>
      <c r="C25" s="855">
        <f t="shared" si="0"/>
        <v>1130000</v>
      </c>
      <c r="D25" s="1084">
        <f t="shared" si="1"/>
        <v>5796746</v>
      </c>
      <c r="E25" s="805">
        <v>1000000</v>
      </c>
      <c r="F25" s="1085">
        <v>3844867</v>
      </c>
      <c r="G25" s="749">
        <v>130000</v>
      </c>
      <c r="H25" s="749">
        <v>603073</v>
      </c>
      <c r="I25" s="749">
        <v>0</v>
      </c>
      <c r="J25" s="749">
        <v>1288806</v>
      </c>
      <c r="K25" s="749"/>
      <c r="L25" s="749"/>
      <c r="M25" s="749"/>
      <c r="N25" s="749"/>
      <c r="O25" s="749"/>
      <c r="P25" s="806"/>
      <c r="Q25" s="807"/>
      <c r="R25" s="749"/>
      <c r="S25" s="749">
        <v>0</v>
      </c>
      <c r="T25" s="749">
        <v>60000</v>
      </c>
      <c r="U25" s="749"/>
      <c r="V25" s="749"/>
      <c r="W25" s="749"/>
      <c r="X25" s="808"/>
      <c r="Y25" s="809"/>
      <c r="Z25" s="749"/>
      <c r="AA25" s="750"/>
      <c r="AB25" s="751"/>
      <c r="AC25" s="770"/>
      <c r="AD25" s="770"/>
    </row>
    <row r="26" spans="1:30" s="74" customFormat="1" ht="15.95" customHeight="1">
      <c r="A26" s="97" t="s">
        <v>248</v>
      </c>
      <c r="B26" s="279"/>
      <c r="C26" s="855">
        <f t="shared" si="0"/>
        <v>0</v>
      </c>
      <c r="D26" s="1084">
        <f t="shared" si="1"/>
        <v>0</v>
      </c>
      <c r="E26" s="805"/>
      <c r="F26" s="1085"/>
      <c r="G26" s="749"/>
      <c r="H26" s="749"/>
      <c r="I26" s="749"/>
      <c r="J26" s="749"/>
      <c r="K26" s="749"/>
      <c r="L26" s="749"/>
      <c r="M26" s="749"/>
      <c r="N26" s="749"/>
      <c r="O26" s="749"/>
      <c r="P26" s="806"/>
      <c r="Q26" s="807"/>
      <c r="R26" s="749"/>
      <c r="S26" s="749"/>
      <c r="T26" s="749"/>
      <c r="U26" s="749"/>
      <c r="V26" s="749"/>
      <c r="W26" s="749"/>
      <c r="X26" s="808"/>
      <c r="Y26" s="809"/>
      <c r="Z26" s="749"/>
      <c r="AA26" s="750"/>
      <c r="AB26" s="751"/>
      <c r="AC26" s="770"/>
      <c r="AD26" s="770"/>
    </row>
    <row r="27" spans="1:30" s="74" customFormat="1" ht="15.95" customHeight="1">
      <c r="A27" s="97" t="s">
        <v>248</v>
      </c>
      <c r="B27" s="279" t="s">
        <v>474</v>
      </c>
      <c r="C27" s="855">
        <f t="shared" si="0"/>
        <v>2900734</v>
      </c>
      <c r="D27" s="851">
        <f t="shared" si="1"/>
        <v>2900734</v>
      </c>
      <c r="E27" s="805">
        <v>2065656</v>
      </c>
      <c r="F27" s="1085">
        <v>2065656</v>
      </c>
      <c r="G27" s="749">
        <v>283183</v>
      </c>
      <c r="H27" s="749">
        <v>283183</v>
      </c>
      <c r="I27" s="749">
        <v>551895</v>
      </c>
      <c r="J27" s="749">
        <v>551895</v>
      </c>
      <c r="K27" s="749"/>
      <c r="L27" s="749"/>
      <c r="M27" s="749"/>
      <c r="N27" s="749"/>
      <c r="O27" s="749"/>
      <c r="P27" s="806"/>
      <c r="Q27" s="807"/>
      <c r="R27" s="749"/>
      <c r="S27" s="749"/>
      <c r="T27" s="749"/>
      <c r="U27" s="749"/>
      <c r="V27" s="749"/>
      <c r="W27" s="749"/>
      <c r="X27" s="808"/>
      <c r="Y27" s="809"/>
      <c r="Z27" s="749"/>
      <c r="AA27" s="750"/>
      <c r="AB27" s="751"/>
      <c r="AC27" s="770"/>
      <c r="AD27" s="770"/>
    </row>
    <row r="28" spans="1:30" s="74" customFormat="1" ht="15.95" customHeight="1">
      <c r="A28" s="97" t="s">
        <v>248</v>
      </c>
      <c r="B28" s="279" t="s">
        <v>496</v>
      </c>
      <c r="C28" s="855">
        <f t="shared" si="0"/>
        <v>2834211</v>
      </c>
      <c r="D28" s="851">
        <f t="shared" si="1"/>
        <v>2834211</v>
      </c>
      <c r="E28" s="810">
        <v>2059657</v>
      </c>
      <c r="F28" s="1086">
        <v>2059657</v>
      </c>
      <c r="G28" s="789">
        <v>282404</v>
      </c>
      <c r="H28" s="789">
        <v>282404</v>
      </c>
      <c r="I28" s="789">
        <v>492150</v>
      </c>
      <c r="J28" s="789">
        <v>492150</v>
      </c>
      <c r="K28" s="789"/>
      <c r="L28" s="789"/>
      <c r="M28" s="789"/>
      <c r="N28" s="789"/>
      <c r="O28" s="789"/>
      <c r="P28" s="811"/>
      <c r="Q28" s="812"/>
      <c r="R28" s="789"/>
      <c r="S28" s="789"/>
      <c r="T28" s="789"/>
      <c r="U28" s="789"/>
      <c r="V28" s="789"/>
      <c r="W28" s="789"/>
      <c r="X28" s="813"/>
      <c r="Y28" s="814"/>
      <c r="Z28" s="789"/>
      <c r="AA28" s="750"/>
      <c r="AB28" s="751"/>
      <c r="AC28" s="770"/>
      <c r="AD28" s="770"/>
    </row>
    <row r="29" spans="1:30" s="74" customFormat="1" ht="15.95" customHeight="1">
      <c r="A29" s="254" t="s">
        <v>248</v>
      </c>
      <c r="B29" s="280" t="s">
        <v>497</v>
      </c>
      <c r="C29" s="856">
        <f>E29+G29+I29+K29+M29+O29+Q29+S29+U29+W29+Y29+AA29</f>
        <v>12781235</v>
      </c>
      <c r="D29" s="852">
        <f>F29+H29+J29+L29+N29+P29+R29+T29+V29+X29+Z29+AB29</f>
        <v>12781235</v>
      </c>
      <c r="E29" s="815">
        <v>9514626</v>
      </c>
      <c r="F29" s="1087">
        <v>9514626</v>
      </c>
      <c r="G29" s="754">
        <v>1309523</v>
      </c>
      <c r="H29" s="754">
        <v>1309523</v>
      </c>
      <c r="I29" s="754">
        <v>1957086</v>
      </c>
      <c r="J29" s="754">
        <v>1957086</v>
      </c>
      <c r="K29" s="754"/>
      <c r="L29" s="754"/>
      <c r="M29" s="754"/>
      <c r="N29" s="754"/>
      <c r="O29" s="754"/>
      <c r="P29" s="816"/>
      <c r="Q29" s="817"/>
      <c r="R29" s="754"/>
      <c r="S29" s="754"/>
      <c r="T29" s="754"/>
      <c r="U29" s="754"/>
      <c r="V29" s="754"/>
      <c r="W29" s="754"/>
      <c r="X29" s="818"/>
      <c r="Y29" s="819"/>
      <c r="Z29" s="754"/>
      <c r="AA29" s="755"/>
      <c r="AB29" s="756"/>
      <c r="AC29" s="770"/>
      <c r="AD29" s="770"/>
    </row>
    <row r="30" spans="1:30" s="74" customFormat="1" ht="15.95" customHeight="1" thickBot="1">
      <c r="A30" s="254" t="s">
        <v>248</v>
      </c>
      <c r="B30" s="280" t="s">
        <v>15</v>
      </c>
      <c r="C30" s="857">
        <f t="shared" si="0"/>
        <v>6413479</v>
      </c>
      <c r="D30" s="853">
        <f t="shared" si="1"/>
        <v>6413479</v>
      </c>
      <c r="E30" s="1088">
        <v>4309313</v>
      </c>
      <c r="F30" s="1087">
        <v>4309313</v>
      </c>
      <c r="G30" s="754">
        <v>591524</v>
      </c>
      <c r="H30" s="754">
        <v>591524</v>
      </c>
      <c r="I30" s="754">
        <v>1512642</v>
      </c>
      <c r="J30" s="754">
        <v>1512642</v>
      </c>
      <c r="K30" s="754"/>
      <c r="L30" s="754"/>
      <c r="M30" s="754"/>
      <c r="N30" s="754"/>
      <c r="O30" s="754"/>
      <c r="P30" s="816"/>
      <c r="Q30" s="817"/>
      <c r="R30" s="754"/>
      <c r="S30" s="754"/>
      <c r="T30" s="754"/>
      <c r="U30" s="754"/>
      <c r="V30" s="754"/>
      <c r="W30" s="754"/>
      <c r="X30" s="818"/>
      <c r="Y30" s="819"/>
      <c r="Z30" s="754"/>
      <c r="AA30" s="755"/>
      <c r="AB30" s="756"/>
      <c r="AC30" s="770"/>
      <c r="AD30" s="770"/>
    </row>
    <row r="31" spans="1:30" s="74" customFormat="1" ht="15.95" customHeight="1" thickBot="1">
      <c r="A31" s="1175" t="s">
        <v>71</v>
      </c>
      <c r="B31" s="1176"/>
      <c r="C31" s="822">
        <f>E31+G31+I31+K31+M31+O31+Q31+S31+U31+W31+Y31+AA31</f>
        <v>332717857</v>
      </c>
      <c r="D31" s="825">
        <f>F31+H31+J31+L31+N31+P31+R31+T31+V31+X31+Z31+AB31</f>
        <v>342967903</v>
      </c>
      <c r="E31" s="822">
        <f>SUM(E13:E30)</f>
        <v>245539808</v>
      </c>
      <c r="F31" s="850">
        <f t="shared" ref="F31:V31" si="2">SUM(F13:F30)</f>
        <v>249797796</v>
      </c>
      <c r="G31" s="822">
        <f t="shared" si="2"/>
        <v>34795035</v>
      </c>
      <c r="H31" s="822">
        <f t="shared" si="2"/>
        <v>35268108</v>
      </c>
      <c r="I31" s="822">
        <f t="shared" si="2"/>
        <v>42817614</v>
      </c>
      <c r="J31" s="822">
        <f>SUM(J13:J30)</f>
        <v>48276599</v>
      </c>
      <c r="K31" s="850">
        <f>SUM(K13:K30)</f>
        <v>0</v>
      </c>
      <c r="L31" s="822">
        <f t="shared" si="2"/>
        <v>0</v>
      </c>
      <c r="M31" s="822">
        <f t="shared" si="2"/>
        <v>0</v>
      </c>
      <c r="N31" s="822">
        <f t="shared" si="2"/>
        <v>0</v>
      </c>
      <c r="O31" s="822">
        <f t="shared" si="2"/>
        <v>0</v>
      </c>
      <c r="P31" s="821">
        <f t="shared" si="2"/>
        <v>0</v>
      </c>
      <c r="Q31" s="850">
        <f t="shared" si="2"/>
        <v>0</v>
      </c>
      <c r="R31" s="822">
        <f t="shared" si="2"/>
        <v>0</v>
      </c>
      <c r="S31" s="822">
        <f t="shared" si="2"/>
        <v>7565400</v>
      </c>
      <c r="T31" s="822">
        <f t="shared" si="2"/>
        <v>7625400</v>
      </c>
      <c r="U31" s="822">
        <f t="shared" si="2"/>
        <v>2000000</v>
      </c>
      <c r="V31" s="822">
        <f t="shared" si="2"/>
        <v>2000000</v>
      </c>
      <c r="W31" s="757">
        <f t="shared" ref="W31:AB31" si="3">SUM(W14:W30)</f>
        <v>0</v>
      </c>
      <c r="X31" s="823">
        <f t="shared" si="3"/>
        <v>0</v>
      </c>
      <c r="Y31" s="820">
        <f t="shared" si="3"/>
        <v>0</v>
      </c>
      <c r="Z31" s="757">
        <f t="shared" si="3"/>
        <v>0</v>
      </c>
      <c r="AA31" s="824">
        <f t="shared" si="3"/>
        <v>0</v>
      </c>
      <c r="AB31" s="825">
        <f t="shared" si="3"/>
        <v>0</v>
      </c>
      <c r="AC31" s="770"/>
      <c r="AD31" s="770"/>
    </row>
    <row r="32" spans="1:30" s="74" customFormat="1" ht="12" thickBot="1">
      <c r="A32" s="256"/>
      <c r="B32" s="281"/>
      <c r="C32" s="858"/>
      <c r="D32" s="854"/>
      <c r="E32" s="826"/>
      <c r="F32" s="827"/>
      <c r="G32" s="828"/>
      <c r="H32" s="828"/>
      <c r="I32" s="828"/>
      <c r="J32" s="861"/>
      <c r="K32" s="827"/>
      <c r="L32" s="828"/>
      <c r="M32" s="828"/>
      <c r="N32" s="828"/>
      <c r="O32" s="828"/>
      <c r="P32" s="829"/>
      <c r="Q32" s="827"/>
      <c r="R32" s="828"/>
      <c r="S32" s="828"/>
      <c r="T32" s="828"/>
      <c r="U32" s="828"/>
      <c r="V32" s="828"/>
      <c r="W32" s="828"/>
      <c r="X32" s="830"/>
      <c r="Y32" s="831"/>
      <c r="Z32" s="828"/>
      <c r="AA32" s="832"/>
      <c r="AB32" s="833"/>
      <c r="AC32" s="770"/>
      <c r="AD32" s="770"/>
    </row>
    <row r="33" spans="1:30" s="74" customFormat="1" ht="15.95" customHeight="1" thickBot="1">
      <c r="A33" s="1175" t="s">
        <v>10</v>
      </c>
      <c r="B33" s="1176"/>
      <c r="C33" s="848">
        <f>C14+C16+C17+C18+C19+C24+C25+C26+C27+C28+C30+C20+C23+C21+C29+C13</f>
        <v>321139640</v>
      </c>
      <c r="D33" s="849">
        <f t="shared" ref="D33:V33" si="4">D14+D16+D17+D18+D19+D24+D25+D26+D27+D28+D30+D20+D23+D21+D29+D13</f>
        <v>331389686</v>
      </c>
      <c r="E33" s="848">
        <f t="shared" si="4"/>
        <v>238473695</v>
      </c>
      <c r="F33" s="849">
        <f t="shared" si="4"/>
        <v>242731683</v>
      </c>
      <c r="G33" s="834">
        <f t="shared" si="4"/>
        <v>33824223</v>
      </c>
      <c r="H33" s="834">
        <f t="shared" si="4"/>
        <v>34297296</v>
      </c>
      <c r="I33" s="834">
        <f t="shared" si="4"/>
        <v>41276322</v>
      </c>
      <c r="J33" s="848">
        <f t="shared" si="4"/>
        <v>46735307</v>
      </c>
      <c r="K33" s="849">
        <f>K14+K16+K17+K18+K19+K24+K25+K26+K27+K28+K30+K20+K23+K21+K29+K13</f>
        <v>0</v>
      </c>
      <c r="L33" s="834">
        <f t="shared" si="4"/>
        <v>0</v>
      </c>
      <c r="M33" s="834">
        <f t="shared" si="4"/>
        <v>0</v>
      </c>
      <c r="N33" s="834">
        <f t="shared" si="4"/>
        <v>0</v>
      </c>
      <c r="O33" s="834">
        <f t="shared" si="4"/>
        <v>0</v>
      </c>
      <c r="P33" s="860">
        <f t="shared" si="4"/>
        <v>0</v>
      </c>
      <c r="Q33" s="849">
        <f t="shared" si="4"/>
        <v>0</v>
      </c>
      <c r="R33" s="834">
        <f t="shared" si="4"/>
        <v>0</v>
      </c>
      <c r="S33" s="834">
        <f t="shared" si="4"/>
        <v>7565400</v>
      </c>
      <c r="T33" s="834">
        <f t="shared" si="4"/>
        <v>7625400</v>
      </c>
      <c r="U33" s="834">
        <f t="shared" si="4"/>
        <v>0</v>
      </c>
      <c r="V33" s="834">
        <f t="shared" si="4"/>
        <v>0</v>
      </c>
      <c r="W33" s="834">
        <f t="shared" ref="W33:AB33" si="5">W14+W16+W17+W18+W19+W24+W25+W26+W27+W28+W30+W20+W23+W21+W29</f>
        <v>0</v>
      </c>
      <c r="X33" s="834">
        <f t="shared" si="5"/>
        <v>0</v>
      </c>
      <c r="Y33" s="834">
        <f t="shared" si="5"/>
        <v>0</v>
      </c>
      <c r="Z33" s="834">
        <f t="shared" si="5"/>
        <v>0</v>
      </c>
      <c r="AA33" s="834">
        <f t="shared" si="5"/>
        <v>0</v>
      </c>
      <c r="AB33" s="860">
        <f t="shared" si="5"/>
        <v>0</v>
      </c>
      <c r="AC33" s="770"/>
      <c r="AD33" s="770"/>
    </row>
    <row r="34" spans="1:30" s="74" customFormat="1" ht="12" thickBot="1">
      <c r="A34" s="256"/>
      <c r="B34" s="282"/>
      <c r="C34" s="837"/>
      <c r="D34" s="842"/>
      <c r="E34" s="837"/>
      <c r="F34" s="838"/>
      <c r="G34" s="839"/>
      <c r="H34" s="839"/>
      <c r="I34" s="839"/>
      <c r="J34" s="841"/>
      <c r="K34" s="838"/>
      <c r="L34" s="839"/>
      <c r="M34" s="839"/>
      <c r="N34" s="839"/>
      <c r="O34" s="839"/>
      <c r="P34" s="836"/>
      <c r="Q34" s="838"/>
      <c r="R34" s="839"/>
      <c r="S34" s="839"/>
      <c r="T34" s="839"/>
      <c r="U34" s="839"/>
      <c r="V34" s="839"/>
      <c r="W34" s="839"/>
      <c r="X34" s="840"/>
      <c r="Y34" s="835"/>
      <c r="Z34" s="839"/>
      <c r="AA34" s="841"/>
      <c r="AB34" s="842"/>
      <c r="AC34" s="770"/>
      <c r="AD34" s="770"/>
    </row>
    <row r="35" spans="1:30" s="74" customFormat="1" ht="15.95" customHeight="1" thickBot="1">
      <c r="A35" s="1175" t="s">
        <v>376</v>
      </c>
      <c r="B35" s="1176"/>
      <c r="C35" s="848">
        <f>C15</f>
        <v>2000000</v>
      </c>
      <c r="D35" s="849">
        <f t="shared" ref="D35:V35" si="6">D15</f>
        <v>2000000</v>
      </c>
      <c r="E35" s="848">
        <f t="shared" si="6"/>
        <v>0</v>
      </c>
      <c r="F35" s="849">
        <f t="shared" si="6"/>
        <v>0</v>
      </c>
      <c r="G35" s="834">
        <f t="shared" si="6"/>
        <v>0</v>
      </c>
      <c r="H35" s="834">
        <f t="shared" si="6"/>
        <v>0</v>
      </c>
      <c r="I35" s="834">
        <f t="shared" si="6"/>
        <v>0</v>
      </c>
      <c r="J35" s="848">
        <f t="shared" si="6"/>
        <v>0</v>
      </c>
      <c r="K35" s="849">
        <f>K15</f>
        <v>0</v>
      </c>
      <c r="L35" s="834">
        <f t="shared" si="6"/>
        <v>0</v>
      </c>
      <c r="M35" s="834">
        <f t="shared" si="6"/>
        <v>0</v>
      </c>
      <c r="N35" s="834">
        <f t="shared" si="6"/>
        <v>0</v>
      </c>
      <c r="O35" s="834">
        <f t="shared" si="6"/>
        <v>0</v>
      </c>
      <c r="P35" s="860">
        <f t="shared" si="6"/>
        <v>0</v>
      </c>
      <c r="Q35" s="849">
        <f t="shared" si="6"/>
        <v>0</v>
      </c>
      <c r="R35" s="834">
        <f t="shared" si="6"/>
        <v>0</v>
      </c>
      <c r="S35" s="834">
        <f t="shared" si="6"/>
        <v>0</v>
      </c>
      <c r="T35" s="834">
        <f t="shared" si="6"/>
        <v>0</v>
      </c>
      <c r="U35" s="834">
        <f t="shared" si="6"/>
        <v>2000000</v>
      </c>
      <c r="V35" s="834">
        <f t="shared" si="6"/>
        <v>2000000</v>
      </c>
      <c r="W35" s="843">
        <v>0</v>
      </c>
      <c r="X35" s="844">
        <v>0</v>
      </c>
      <c r="Y35" s="834">
        <v>0</v>
      </c>
      <c r="Z35" s="843">
        <v>0</v>
      </c>
      <c r="AA35" s="845">
        <v>0</v>
      </c>
      <c r="AB35" s="846">
        <v>0</v>
      </c>
      <c r="AC35" s="770"/>
      <c r="AD35" s="770"/>
    </row>
    <row r="36" spans="1:30" s="74" customFormat="1" ht="12" thickBot="1">
      <c r="A36" s="256"/>
      <c r="B36" s="282"/>
      <c r="C36" s="859"/>
      <c r="D36" s="842"/>
      <c r="E36" s="837"/>
      <c r="F36" s="838"/>
      <c r="G36" s="839"/>
      <c r="H36" s="839"/>
      <c r="I36" s="839"/>
      <c r="J36" s="841"/>
      <c r="K36" s="838"/>
      <c r="L36" s="839"/>
      <c r="M36" s="839"/>
      <c r="N36" s="839"/>
      <c r="O36" s="839"/>
      <c r="P36" s="836"/>
      <c r="Q36" s="838"/>
      <c r="R36" s="839"/>
      <c r="S36" s="839"/>
      <c r="T36" s="839"/>
      <c r="U36" s="839"/>
      <c r="V36" s="839"/>
      <c r="W36" s="839"/>
      <c r="X36" s="840"/>
      <c r="Y36" s="835"/>
      <c r="Z36" s="839"/>
      <c r="AA36" s="841"/>
      <c r="AB36" s="842"/>
      <c r="AC36" s="770"/>
      <c r="AD36" s="770"/>
    </row>
    <row r="37" spans="1:30" s="74" customFormat="1" ht="12" thickBot="1">
      <c r="A37" s="1175" t="s">
        <v>435</v>
      </c>
      <c r="B37" s="1176"/>
      <c r="C37" s="834">
        <f>C22</f>
        <v>9578217</v>
      </c>
      <c r="D37" s="847">
        <f>D22</f>
        <v>9578217</v>
      </c>
      <c r="E37" s="848">
        <f>E22</f>
        <v>7066113</v>
      </c>
      <c r="F37" s="849">
        <f t="shared" ref="F37:AB37" si="7">F22</f>
        <v>7066113</v>
      </c>
      <c r="G37" s="843">
        <f>G22</f>
        <v>970812</v>
      </c>
      <c r="H37" s="843">
        <f t="shared" si="7"/>
        <v>970812</v>
      </c>
      <c r="I37" s="843">
        <f>I22</f>
        <v>1541292</v>
      </c>
      <c r="J37" s="845">
        <f t="shared" si="7"/>
        <v>1541292</v>
      </c>
      <c r="K37" s="849">
        <f>K22</f>
        <v>0</v>
      </c>
      <c r="L37" s="843">
        <f t="shared" si="7"/>
        <v>0</v>
      </c>
      <c r="M37" s="843">
        <f>M22</f>
        <v>0</v>
      </c>
      <c r="N37" s="843">
        <f t="shared" si="7"/>
        <v>0</v>
      </c>
      <c r="O37" s="843">
        <f>O22</f>
        <v>0</v>
      </c>
      <c r="P37" s="847">
        <f t="shared" si="7"/>
        <v>0</v>
      </c>
      <c r="Q37" s="849">
        <f>Q22</f>
        <v>0</v>
      </c>
      <c r="R37" s="843">
        <f t="shared" si="7"/>
        <v>0</v>
      </c>
      <c r="S37" s="843">
        <f>S22</f>
        <v>0</v>
      </c>
      <c r="T37" s="843">
        <f t="shared" si="7"/>
        <v>0</v>
      </c>
      <c r="U37" s="843">
        <f>U22</f>
        <v>0</v>
      </c>
      <c r="V37" s="843">
        <f t="shared" si="7"/>
        <v>0</v>
      </c>
      <c r="W37" s="843">
        <f>W22</f>
        <v>0</v>
      </c>
      <c r="X37" s="844">
        <f t="shared" si="7"/>
        <v>0</v>
      </c>
      <c r="Y37" s="834">
        <f>Y22</f>
        <v>0</v>
      </c>
      <c r="Z37" s="843">
        <f t="shared" si="7"/>
        <v>0</v>
      </c>
      <c r="AA37" s="845">
        <f>AA22</f>
        <v>0</v>
      </c>
      <c r="AB37" s="846">
        <f t="shared" si="7"/>
        <v>0</v>
      </c>
      <c r="AC37" s="770"/>
      <c r="AD37" s="770"/>
    </row>
    <row r="38" spans="1:30" s="74" customFormat="1" ht="11.25">
      <c r="C38" s="770"/>
      <c r="D38" s="770"/>
      <c r="E38" s="770"/>
      <c r="F38" s="770"/>
      <c r="G38" s="770"/>
      <c r="H38" s="770"/>
      <c r="I38" s="770"/>
      <c r="J38" s="770"/>
      <c r="K38" s="770"/>
      <c r="L38" s="770"/>
      <c r="M38" s="770"/>
      <c r="N38" s="770"/>
      <c r="O38" s="770"/>
      <c r="P38" s="770"/>
      <c r="Q38" s="770"/>
      <c r="R38" s="770"/>
      <c r="S38" s="770"/>
      <c r="T38" s="770"/>
      <c r="U38" s="770"/>
      <c r="V38" s="770"/>
      <c r="W38" s="770"/>
      <c r="X38" s="770"/>
      <c r="Y38" s="770"/>
      <c r="Z38" s="770"/>
      <c r="AA38" s="770"/>
      <c r="AB38" s="770"/>
      <c r="AC38" s="770"/>
      <c r="AD38" s="770"/>
    </row>
    <row r="39" spans="1:30" s="74" customFormat="1" ht="11.25">
      <c r="C39" s="770">
        <f>C33+C35+C37</f>
        <v>332717857</v>
      </c>
      <c r="D39" s="770">
        <f>D33+D35+D37</f>
        <v>342967903</v>
      </c>
      <c r="E39" s="770"/>
      <c r="F39" s="770"/>
      <c r="G39" s="770"/>
      <c r="H39" s="770"/>
      <c r="I39" s="770"/>
      <c r="J39" s="770"/>
      <c r="K39" s="770"/>
      <c r="L39" s="770"/>
      <c r="M39" s="770"/>
      <c r="N39" s="770"/>
      <c r="O39" s="770"/>
      <c r="P39" s="770"/>
      <c r="Q39" s="770"/>
      <c r="R39" s="770"/>
      <c r="S39" s="770"/>
      <c r="T39" s="770"/>
      <c r="U39" s="770"/>
      <c r="V39" s="770"/>
      <c r="W39" s="770"/>
      <c r="X39" s="770"/>
      <c r="Y39" s="770"/>
      <c r="Z39" s="770"/>
      <c r="AA39" s="770"/>
      <c r="AB39" s="770"/>
      <c r="AC39" s="770"/>
      <c r="AD39" s="770"/>
    </row>
    <row r="40" spans="1:30" s="74" customFormat="1" ht="11.25">
      <c r="C40" s="770"/>
      <c r="D40" s="770"/>
      <c r="E40" s="770"/>
      <c r="F40" s="770"/>
      <c r="G40" s="770"/>
      <c r="H40" s="770"/>
      <c r="I40" s="770"/>
      <c r="J40" s="770"/>
      <c r="K40" s="770"/>
      <c r="L40" s="770"/>
      <c r="M40" s="770"/>
      <c r="N40" s="770"/>
      <c r="O40" s="770"/>
      <c r="P40" s="770"/>
      <c r="Q40" s="770"/>
      <c r="R40" s="770"/>
      <c r="S40" s="770"/>
      <c r="T40" s="770"/>
      <c r="U40" s="770"/>
      <c r="V40" s="770"/>
      <c r="W40" s="770"/>
      <c r="X40" s="770"/>
      <c r="Y40" s="770"/>
      <c r="Z40" s="770"/>
      <c r="AA40" s="770"/>
      <c r="AB40" s="770"/>
      <c r="AC40" s="770"/>
      <c r="AD40" s="770"/>
    </row>
    <row r="41" spans="1:30" s="74" customFormat="1" ht="11.25">
      <c r="C41" s="770"/>
      <c r="D41" s="770"/>
      <c r="E41" s="770"/>
      <c r="F41" s="770"/>
      <c r="G41" s="770"/>
      <c r="H41" s="770"/>
      <c r="I41" s="770"/>
      <c r="J41" s="770"/>
      <c r="K41" s="770"/>
      <c r="L41" s="770"/>
      <c r="M41" s="770"/>
      <c r="N41" s="770"/>
      <c r="O41" s="770"/>
      <c r="P41" s="770"/>
      <c r="Q41" s="770"/>
      <c r="R41" s="770"/>
      <c r="S41" s="770"/>
      <c r="T41" s="770"/>
      <c r="U41" s="770"/>
      <c r="V41" s="770"/>
      <c r="W41" s="770"/>
      <c r="X41" s="770"/>
      <c r="Y41" s="770"/>
      <c r="Z41" s="770"/>
      <c r="AA41" s="770"/>
      <c r="AB41" s="770"/>
      <c r="AC41" s="770"/>
      <c r="AD41" s="770"/>
    </row>
    <row r="42" spans="1:30" s="74" customFormat="1" ht="11.25"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30" s="74" customFormat="1" ht="11.25"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30" s="74" customFormat="1" ht="11.25"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30" s="74" customFormat="1" ht="11.25"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30" s="74" customFormat="1" ht="11.25"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30" s="74" customFormat="1" ht="11.25"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30" s="74" customFormat="1" ht="11.25"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3:28" s="74" customFormat="1" ht="11.25"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3:28" s="74" customFormat="1" ht="11.25"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3:28" s="74" customFormat="1" ht="11.25"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3:28" s="74" customFormat="1" ht="11.25"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3:28" s="74" customFormat="1" ht="11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3:28" s="74" customFormat="1" ht="11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3:28" s="74" customFormat="1" ht="11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3:28" s="74" customFormat="1" ht="11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3:28" s="74" customFormat="1" ht="11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3:28" s="74" customFormat="1" ht="11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3:28" s="74" customFormat="1" ht="11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3:28" s="74" customFormat="1" ht="11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3:28" s="74" customFormat="1" ht="11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  <row r="62" spans="3:28" s="74" customFormat="1" ht="11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</row>
    <row r="63" spans="3:28" s="74" customFormat="1" ht="11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</row>
    <row r="64" spans="3:28" s="74" customFormat="1" ht="11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</row>
    <row r="65" spans="3:28" s="74" customFormat="1" ht="11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</row>
    <row r="66" spans="3:28" s="74" customFormat="1" ht="11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</row>
    <row r="67" spans="3:28" s="74" customFormat="1" ht="11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</row>
    <row r="68" spans="3:28" s="74" customFormat="1" ht="11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</row>
    <row r="69" spans="3:28" s="74" customFormat="1" ht="11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</row>
    <row r="70" spans="3:28" s="74" customFormat="1" ht="11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</row>
    <row r="71" spans="3:28" s="74" customFormat="1" ht="11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</row>
    <row r="72" spans="3:28" s="74" customFormat="1" ht="11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</row>
    <row r="73" spans="3:28" s="74" customFormat="1" ht="11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</row>
    <row r="74" spans="3:28" s="74" customFormat="1" ht="11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</row>
    <row r="75" spans="3:28" s="74" customFormat="1" ht="11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</row>
    <row r="76" spans="3:28" s="74" customFormat="1" ht="11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</row>
    <row r="77" spans="3:28" s="74" customFormat="1" ht="11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</row>
    <row r="78" spans="3:28" s="74" customFormat="1" ht="11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</row>
    <row r="79" spans="3:28" s="74" customFormat="1" ht="11.25"/>
    <row r="80" spans="3:28" s="74" customFormat="1" ht="11.25"/>
    <row r="81" s="74" customFormat="1" ht="11.25"/>
    <row r="82" s="74" customFormat="1" ht="11.25"/>
    <row r="83" s="74" customFormat="1" ht="11.25"/>
    <row r="84" s="74" customFormat="1" ht="11.25"/>
    <row r="85" s="74" customFormat="1" ht="11.25"/>
    <row r="86" s="74" customFormat="1" ht="11.25"/>
    <row r="87" s="74" customFormat="1" ht="11.25"/>
    <row r="88" s="74" customFormat="1" ht="11.25"/>
    <row r="89" s="74" customFormat="1" ht="11.25"/>
    <row r="90" s="74" customFormat="1" ht="11.25"/>
    <row r="91" s="74" customFormat="1" ht="11.25"/>
    <row r="92" s="74" customFormat="1" ht="11.25"/>
    <row r="93" s="74" customFormat="1" ht="11.25"/>
    <row r="94" s="74" customFormat="1" ht="11.25"/>
    <row r="95" s="74" customFormat="1" ht="11.25"/>
    <row r="96" s="74" customFormat="1" ht="11.25"/>
    <row r="97" s="74" customFormat="1" ht="11.25"/>
    <row r="98" s="74" customFormat="1" ht="11.25"/>
    <row r="99" s="74" customFormat="1" ht="11.25"/>
    <row r="100" s="74" customFormat="1" ht="11.25"/>
    <row r="101" s="74" customFormat="1" ht="11.25"/>
    <row r="102" s="74" customFormat="1" ht="11.25"/>
    <row r="103" s="74" customFormat="1" ht="11.25"/>
    <row r="104" s="74" customFormat="1" ht="11.25"/>
    <row r="105" s="74" customFormat="1" ht="11.25"/>
    <row r="106" s="74" customFormat="1" ht="11.25"/>
    <row r="107" s="74" customFormat="1" ht="11.25"/>
    <row r="108" s="74" customFormat="1" ht="11.25"/>
    <row r="109" s="74" customFormat="1" ht="11.25"/>
    <row r="110" s="74" customFormat="1" ht="11.25"/>
    <row r="111" s="74" customFormat="1" ht="11.25"/>
    <row r="112" s="74" customFormat="1" ht="11.25"/>
    <row r="113" s="74" customFormat="1" ht="11.25"/>
    <row r="114" s="74" customFormat="1" ht="11.25"/>
    <row r="115" s="74" customFormat="1" ht="11.25"/>
    <row r="116" s="74" customFormat="1" ht="11.25"/>
    <row r="117" s="74" customFormat="1" ht="11.25"/>
    <row r="118" s="74" customFormat="1" ht="11.25"/>
    <row r="119" s="73" customFormat="1" ht="12"/>
    <row r="120" s="73" customFormat="1" ht="12"/>
    <row r="121" s="73" customFormat="1" ht="12"/>
    <row r="122" s="73" customFormat="1" ht="12"/>
    <row r="123" s="73" customFormat="1" ht="12"/>
    <row r="124" s="73" customFormat="1" ht="12"/>
    <row r="125" s="73" customFormat="1" ht="12"/>
    <row r="126" s="73" customFormat="1" ht="12"/>
    <row r="127" s="73" customFormat="1" ht="12"/>
    <row r="128" s="73" customFormat="1" ht="12"/>
    <row r="129" s="73" customFormat="1" ht="12"/>
    <row r="130" s="73" customFormat="1" ht="12"/>
    <row r="131" s="73" customFormat="1" ht="12"/>
    <row r="132" s="73" customFormat="1" ht="12"/>
    <row r="133" s="73" customFormat="1" ht="12"/>
    <row r="134" s="73" customFormat="1" ht="12"/>
    <row r="135" s="73" customFormat="1" ht="12"/>
    <row r="136" s="73" customFormat="1" ht="12"/>
    <row r="137" s="73" customFormat="1" ht="12"/>
    <row r="138" s="73" customFormat="1" ht="12"/>
    <row r="139" s="73" customFormat="1" ht="12"/>
    <row r="140" s="73" customFormat="1" ht="12"/>
    <row r="141" s="73" customFormat="1" ht="12"/>
    <row r="142" s="73" customFormat="1" ht="12"/>
    <row r="143" s="73" customFormat="1" ht="12"/>
    <row r="144" s="73" customFormat="1" ht="12"/>
    <row r="145" s="73" customFormat="1" ht="12"/>
    <row r="146" s="73" customFormat="1" ht="12"/>
    <row r="147" s="73" customFormat="1" ht="12"/>
    <row r="148" s="73" customFormat="1" ht="12"/>
    <row r="149" s="73" customFormat="1" ht="12"/>
    <row r="150" s="73" customFormat="1" ht="12"/>
    <row r="151" s="73" customFormat="1" ht="12"/>
    <row r="152" s="73" customFormat="1" ht="12"/>
    <row r="153" s="73" customFormat="1" ht="12"/>
    <row r="154" s="73" customFormat="1" ht="12"/>
    <row r="155" s="73" customFormat="1" ht="12"/>
    <row r="156" s="73" customFormat="1" ht="12"/>
    <row r="157" s="73" customFormat="1" ht="12"/>
    <row r="158" s="73" customFormat="1" ht="12"/>
    <row r="159" s="73" customFormat="1" ht="12"/>
    <row r="160" s="73" customFormat="1" ht="12"/>
    <row r="161" s="73" customFormat="1" ht="12"/>
    <row r="162" s="73" customFormat="1" ht="12"/>
    <row r="163" s="73" customFormat="1" ht="12"/>
    <row r="164" s="73" customFormat="1" ht="12"/>
    <row r="165" s="73" customFormat="1" ht="12"/>
    <row r="166" s="73" customFormat="1" ht="12"/>
    <row r="167" s="73" customFormat="1" ht="12"/>
    <row r="168" s="73" customFormat="1" ht="12"/>
    <row r="169" s="73" customFormat="1" ht="12"/>
    <row r="170" s="73" customFormat="1" ht="12"/>
    <row r="171" s="73" customFormat="1" ht="12"/>
    <row r="172" s="73" customFormat="1" ht="12"/>
    <row r="173" s="73" customFormat="1" ht="12"/>
  </sheetData>
  <mergeCells count="24">
    <mergeCell ref="Y9:Z10"/>
    <mergeCell ref="AA9:AB10"/>
    <mergeCell ref="Y8:AB8"/>
    <mergeCell ref="K9:L10"/>
    <mergeCell ref="M9:N10"/>
    <mergeCell ref="O9:P10"/>
    <mergeCell ref="U9:V10"/>
    <mergeCell ref="W9:X10"/>
    <mergeCell ref="C8:D10"/>
    <mergeCell ref="E9:F10"/>
    <mergeCell ref="G9:H10"/>
    <mergeCell ref="I9:J10"/>
    <mergeCell ref="Q9:R10"/>
    <mergeCell ref="S9:T10"/>
    <mergeCell ref="A37:B37"/>
    <mergeCell ref="B4:X4"/>
    <mergeCell ref="B6:X6"/>
    <mergeCell ref="A35:B35"/>
    <mergeCell ref="A12:B12"/>
    <mergeCell ref="A31:B31"/>
    <mergeCell ref="A33:B33"/>
    <mergeCell ref="A8:B11"/>
    <mergeCell ref="Q8:X8"/>
    <mergeCell ref="E8:P8"/>
  </mergeCells>
  <phoneticPr fontId="1" type="noConversion"/>
  <printOptions horizontalCentered="1"/>
  <pageMargins left="0.15748031496062992" right="0.15748031496062992" top="0.35433070866141736" bottom="0.31496062992125984" header="0.51181102362204722" footer="0.35433070866141736"/>
  <pageSetup paperSize="8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635F-DFFE-407C-A9C4-CE0C8BBC7D30}">
  <dimension ref="B1:U67"/>
  <sheetViews>
    <sheetView topLeftCell="B1" workbookViewId="0">
      <selection activeCell="U17" sqref="U17"/>
    </sheetView>
  </sheetViews>
  <sheetFormatPr defaultRowHeight="12.75"/>
  <cols>
    <col min="1" max="1" width="5.140625" customWidth="1"/>
    <col min="2" max="2" width="9.140625" customWidth="1"/>
    <col min="3" max="3" width="41.28515625" customWidth="1"/>
    <col min="4" max="4" width="11.28515625" bestFit="1" customWidth="1"/>
    <col min="5" max="5" width="11.28515625" customWidth="1"/>
    <col min="6" max="6" width="9.28515625" bestFit="1" customWidth="1"/>
    <col min="7" max="7" width="9.28515625" customWidth="1"/>
    <col min="8" max="8" width="9.5703125" bestFit="1" customWidth="1"/>
    <col min="9" max="9" width="9.5703125" customWidth="1"/>
    <col min="10" max="10" width="9.28515625" bestFit="1" customWidth="1"/>
    <col min="11" max="11" width="9.28515625" customWidth="1"/>
    <col min="12" max="12" width="9.28515625" bestFit="1" customWidth="1"/>
    <col min="13" max="13" width="9.28515625" customWidth="1"/>
    <col min="14" max="14" width="9.28515625" bestFit="1" customWidth="1"/>
    <col min="15" max="15" width="9.28515625" customWidth="1"/>
    <col min="16" max="16" width="9.28515625" bestFit="1" customWidth="1"/>
    <col min="17" max="17" width="9.28515625" customWidth="1"/>
    <col min="18" max="18" width="11.42578125" customWidth="1"/>
    <col min="19" max="19" width="11" customWidth="1"/>
    <col min="20" max="20" width="8.7109375" customWidth="1"/>
    <col min="21" max="21" width="9.28515625" customWidth="1"/>
  </cols>
  <sheetData>
    <row r="1" spans="2:21">
      <c r="C1" s="238" t="s">
        <v>433</v>
      </c>
      <c r="D1" s="158" t="str">
        <f>'bev-int'!B1</f>
        <v>melléklet a …/2024. (.  .) önkormányzati rendelethez</v>
      </c>
      <c r="E1" s="158"/>
    </row>
    <row r="4" spans="2:21">
      <c r="B4" s="1206" t="s">
        <v>702</v>
      </c>
      <c r="C4" s="1206"/>
      <c r="D4" s="1206"/>
      <c r="E4" s="1206"/>
      <c r="F4" s="1206"/>
      <c r="G4" s="1206"/>
      <c r="H4" s="1206"/>
      <c r="I4" s="1206"/>
      <c r="J4" s="1206"/>
      <c r="K4" s="1206"/>
      <c r="L4" s="1206"/>
      <c r="M4" s="1206"/>
      <c r="N4" s="1206"/>
      <c r="O4" s="1206"/>
      <c r="P4" s="1206"/>
      <c r="Q4" s="1206"/>
      <c r="R4" s="1206"/>
      <c r="S4" s="1206"/>
      <c r="T4" s="1206"/>
      <c r="U4" s="1206"/>
    </row>
    <row r="5" spans="2:21"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</row>
    <row r="6" spans="2:21" ht="13.5" thickBot="1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T6" s="129" t="s">
        <v>310</v>
      </c>
      <c r="U6" s="129"/>
    </row>
    <row r="7" spans="2:21" ht="19.5" customHeight="1">
      <c r="B7" s="1149" t="s">
        <v>55</v>
      </c>
      <c r="C7" s="1150"/>
      <c r="D7" s="1161" t="s">
        <v>235</v>
      </c>
      <c r="E7" s="1150"/>
      <c r="F7" s="1157" t="s">
        <v>104</v>
      </c>
      <c r="G7" s="1158"/>
      <c r="H7" s="1158"/>
      <c r="I7" s="1158"/>
      <c r="J7" s="1158"/>
      <c r="K7" s="1160"/>
      <c r="L7" s="1157" t="s">
        <v>148</v>
      </c>
      <c r="M7" s="1158"/>
      <c r="N7" s="1158"/>
      <c r="O7" s="1158"/>
      <c r="P7" s="1158"/>
      <c r="Q7" s="1160"/>
      <c r="R7" s="1157" t="s">
        <v>81</v>
      </c>
      <c r="S7" s="1158"/>
      <c r="T7" s="1158"/>
      <c r="U7" s="1159"/>
    </row>
    <row r="8" spans="2:21" ht="13.5" customHeight="1">
      <c r="B8" s="1151"/>
      <c r="C8" s="1152"/>
      <c r="D8" s="1162"/>
      <c r="E8" s="1152"/>
      <c r="F8" s="1140" t="str">
        <f>'bev-int'!A15</f>
        <v>Működési célú támogatások ÁH belülről</v>
      </c>
      <c r="G8" s="1141"/>
      <c r="H8" s="1140" t="str">
        <f>'bev-int'!A27</f>
        <v>Működési bevételek</v>
      </c>
      <c r="I8" s="1141"/>
      <c r="J8" s="1140" t="str">
        <f>'bev-int'!A29</f>
        <v>Működési célú átvett pénzeszközök</v>
      </c>
      <c r="K8" s="1141"/>
      <c r="L8" s="1140" t="str">
        <f>'bev-int'!A21</f>
        <v>Felhalmozási célú támogatások ÁH belülről</v>
      </c>
      <c r="M8" s="1141"/>
      <c r="N8" s="1140" t="str">
        <f>'bev-int'!A28</f>
        <v>Felhalmozási bevételek</v>
      </c>
      <c r="O8" s="1141"/>
      <c r="P8" s="1140" t="str">
        <f>'bev-int'!A30</f>
        <v>Felhalmozási célú átvett pénzeszközök</v>
      </c>
      <c r="Q8" s="1141"/>
      <c r="R8" s="1144" t="str">
        <f>'bev-int'!A37</f>
        <v>Központi, irányító szervi támogatás</v>
      </c>
      <c r="S8" s="1145"/>
      <c r="T8" s="1140" t="str">
        <f>'bev-int'!A34</f>
        <v>Maradvány igénybevétele</v>
      </c>
      <c r="U8" s="1155"/>
    </row>
    <row r="9" spans="2:21" ht="19.5" customHeight="1" thickBot="1">
      <c r="B9" s="1151"/>
      <c r="C9" s="1152"/>
      <c r="D9" s="1163"/>
      <c r="E9" s="1164"/>
      <c r="F9" s="1142"/>
      <c r="G9" s="1143"/>
      <c r="H9" s="1142"/>
      <c r="I9" s="1143"/>
      <c r="J9" s="1142"/>
      <c r="K9" s="1143"/>
      <c r="L9" s="1142"/>
      <c r="M9" s="1143"/>
      <c r="N9" s="1142"/>
      <c r="O9" s="1143"/>
      <c r="P9" s="1142"/>
      <c r="Q9" s="1143"/>
      <c r="R9" s="1146"/>
      <c r="S9" s="1147"/>
      <c r="T9" s="1142"/>
      <c r="U9" s="1156"/>
    </row>
    <row r="10" spans="2:21" ht="18.75" customHeight="1" thickBot="1">
      <c r="B10" s="1151"/>
      <c r="C10" s="1152"/>
      <c r="D10" s="265" t="s">
        <v>438</v>
      </c>
      <c r="E10" s="263" t="s">
        <v>439</v>
      </c>
      <c r="F10" s="265" t="s">
        <v>438</v>
      </c>
      <c r="G10" s="263" t="s">
        <v>439</v>
      </c>
      <c r="H10" s="265" t="s">
        <v>438</v>
      </c>
      <c r="I10" s="263" t="s">
        <v>439</v>
      </c>
      <c r="J10" s="265" t="s">
        <v>438</v>
      </c>
      <c r="K10" s="263" t="s">
        <v>439</v>
      </c>
      <c r="L10" s="265" t="s">
        <v>438</v>
      </c>
      <c r="M10" s="263" t="s">
        <v>439</v>
      </c>
      <c r="N10" s="265" t="s">
        <v>438</v>
      </c>
      <c r="O10" s="263" t="s">
        <v>439</v>
      </c>
      <c r="P10" s="265" t="s">
        <v>438</v>
      </c>
      <c r="Q10" s="263" t="s">
        <v>439</v>
      </c>
      <c r="R10" s="265" t="s">
        <v>438</v>
      </c>
      <c r="S10" s="263" t="s">
        <v>439</v>
      </c>
      <c r="T10" s="265" t="s">
        <v>438</v>
      </c>
      <c r="U10" s="263" t="s">
        <v>439</v>
      </c>
    </row>
    <row r="11" spans="2:21">
      <c r="B11" s="1132"/>
      <c r="C11" s="1133"/>
      <c r="D11" s="759"/>
      <c r="E11" s="759"/>
      <c r="F11" s="787"/>
      <c r="G11" s="787"/>
      <c r="H11" s="787"/>
      <c r="I11" s="787"/>
      <c r="J11" s="787"/>
      <c r="K11" s="787"/>
      <c r="L11" s="787"/>
      <c r="M11" s="787"/>
      <c r="N11" s="787"/>
      <c r="O11" s="787"/>
      <c r="P11" s="787"/>
      <c r="Q11" s="787"/>
      <c r="R11" s="787"/>
      <c r="S11" s="787"/>
      <c r="T11" s="788"/>
      <c r="U11" s="762"/>
    </row>
    <row r="12" spans="2:21" ht="15" customHeight="1">
      <c r="B12" s="97" t="s">
        <v>248</v>
      </c>
      <c r="C12" s="87" t="s">
        <v>290</v>
      </c>
      <c r="D12" s="747">
        <f t="shared" ref="D12:E16" si="0">F12+H12+J12+L12+N12+P12+R12+T12</f>
        <v>0</v>
      </c>
      <c r="E12" s="747">
        <f t="shared" si="0"/>
        <v>0</v>
      </c>
      <c r="F12" s="749"/>
      <c r="G12" s="749"/>
      <c r="H12" s="749"/>
      <c r="I12" s="749"/>
      <c r="J12" s="749"/>
      <c r="K12" s="749"/>
      <c r="L12" s="749"/>
      <c r="M12" s="749"/>
      <c r="N12" s="749"/>
      <c r="O12" s="749"/>
      <c r="P12" s="749"/>
      <c r="Q12" s="749"/>
      <c r="R12" s="749"/>
      <c r="S12" s="749"/>
      <c r="T12" s="750"/>
      <c r="U12" s="751"/>
    </row>
    <row r="13" spans="2:21" ht="15" customHeight="1">
      <c r="B13" s="97" t="s">
        <v>248</v>
      </c>
      <c r="C13" s="87" t="s">
        <v>291</v>
      </c>
      <c r="D13" s="747">
        <f t="shared" si="0"/>
        <v>0</v>
      </c>
      <c r="E13" s="747">
        <f t="shared" si="0"/>
        <v>0</v>
      </c>
      <c r="F13" s="749"/>
      <c r="G13" s="749"/>
      <c r="H13" s="749"/>
      <c r="I13" s="749"/>
      <c r="J13" s="749"/>
      <c r="K13" s="749"/>
      <c r="L13" s="749"/>
      <c r="M13" s="749"/>
      <c r="N13" s="749"/>
      <c r="O13" s="749"/>
      <c r="P13" s="749"/>
      <c r="Q13" s="749"/>
      <c r="R13" s="749"/>
      <c r="S13" s="749"/>
      <c r="T13" s="750"/>
      <c r="U13" s="751"/>
    </row>
    <row r="14" spans="2:21" ht="15" customHeight="1">
      <c r="B14" s="97" t="s">
        <v>248</v>
      </c>
      <c r="C14" s="87" t="s">
        <v>292</v>
      </c>
      <c r="D14" s="747">
        <f t="shared" si="0"/>
        <v>0</v>
      </c>
      <c r="E14" s="747">
        <f t="shared" si="0"/>
        <v>0</v>
      </c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749"/>
      <c r="S14" s="749"/>
      <c r="T14" s="750"/>
      <c r="U14" s="751"/>
    </row>
    <row r="15" spans="2:21" ht="15" customHeight="1">
      <c r="B15" s="97" t="s">
        <v>248</v>
      </c>
      <c r="C15" s="108" t="s">
        <v>288</v>
      </c>
      <c r="D15" s="747">
        <f t="shared" si="0"/>
        <v>0</v>
      </c>
      <c r="E15" s="747">
        <f t="shared" si="0"/>
        <v>0</v>
      </c>
      <c r="F15" s="749"/>
      <c r="G15" s="749"/>
      <c r="H15" s="749"/>
      <c r="I15" s="749"/>
      <c r="J15" s="749"/>
      <c r="K15" s="749"/>
      <c r="L15" s="749"/>
      <c r="M15" s="749"/>
      <c r="N15" s="749"/>
      <c r="O15" s="749"/>
      <c r="P15" s="749"/>
      <c r="Q15" s="749"/>
      <c r="R15" s="749"/>
      <c r="S15" s="749"/>
      <c r="T15" s="750"/>
      <c r="U15" s="751"/>
    </row>
    <row r="16" spans="2:21" ht="15" customHeight="1">
      <c r="B16" s="109" t="s">
        <v>248</v>
      </c>
      <c r="C16" s="87" t="s">
        <v>252</v>
      </c>
      <c r="D16" s="747">
        <f t="shared" si="0"/>
        <v>276705274</v>
      </c>
      <c r="E16" s="747">
        <f t="shared" si="0"/>
        <v>277740079</v>
      </c>
      <c r="F16" s="749"/>
      <c r="G16" s="749"/>
      <c r="H16" s="749"/>
      <c r="I16" s="749"/>
      <c r="J16" s="749"/>
      <c r="K16" s="749"/>
      <c r="L16" s="749"/>
      <c r="M16" s="749"/>
      <c r="N16" s="749"/>
      <c r="O16" s="749"/>
      <c r="P16" s="749"/>
      <c r="Q16" s="749"/>
      <c r="R16" s="749">
        <v>276705274</v>
      </c>
      <c r="S16" s="749">
        <v>276705274</v>
      </c>
      <c r="T16" s="750"/>
      <c r="U16" s="751">
        <v>1034805</v>
      </c>
    </row>
    <row r="17" spans="2:21" ht="15" customHeight="1">
      <c r="B17" s="97"/>
      <c r="C17" s="99" t="s">
        <v>270</v>
      </c>
      <c r="D17" s="747">
        <f>SUM(D12:D16)</f>
        <v>276705274</v>
      </c>
      <c r="E17" s="747">
        <f>SUM(E12:E16)</f>
        <v>277740079</v>
      </c>
      <c r="F17" s="747">
        <f>SUM(F12:F16)</f>
        <v>0</v>
      </c>
      <c r="G17" s="747">
        <f t="shared" ref="G17:U17" si="1">SUM(G12:G16)</f>
        <v>0</v>
      </c>
      <c r="H17" s="747">
        <f>SUM(H12:H16)</f>
        <v>0</v>
      </c>
      <c r="I17" s="747">
        <f t="shared" si="1"/>
        <v>0</v>
      </c>
      <c r="J17" s="747">
        <f>SUM(J12:J16)</f>
        <v>0</v>
      </c>
      <c r="K17" s="747">
        <f t="shared" si="1"/>
        <v>0</v>
      </c>
      <c r="L17" s="747">
        <f>SUM(L12:L16)</f>
        <v>0</v>
      </c>
      <c r="M17" s="747">
        <f t="shared" si="1"/>
        <v>0</v>
      </c>
      <c r="N17" s="747">
        <f>SUM(N12:N16)</f>
        <v>0</v>
      </c>
      <c r="O17" s="747">
        <f t="shared" si="1"/>
        <v>0</v>
      </c>
      <c r="P17" s="747">
        <f>SUM(P12:P16)</f>
        <v>0</v>
      </c>
      <c r="Q17" s="747">
        <f t="shared" si="1"/>
        <v>0</v>
      </c>
      <c r="R17" s="747">
        <f>SUM(R12:R16)</f>
        <v>276705274</v>
      </c>
      <c r="S17" s="747">
        <f t="shared" si="1"/>
        <v>276705274</v>
      </c>
      <c r="T17" s="790">
        <f>SUM(T12:T16)</f>
        <v>0</v>
      </c>
      <c r="U17" s="791">
        <f t="shared" si="1"/>
        <v>1034805</v>
      </c>
    </row>
    <row r="18" spans="2:21" ht="15" customHeight="1">
      <c r="B18" s="97"/>
      <c r="C18" s="87"/>
      <c r="D18" s="747"/>
      <c r="E18" s="747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49"/>
      <c r="T18" s="750"/>
      <c r="U18" s="751"/>
    </row>
    <row r="19" spans="2:21" ht="15.75" hidden="1" customHeight="1">
      <c r="B19" s="97" t="s">
        <v>248</v>
      </c>
      <c r="C19" s="87" t="s">
        <v>271</v>
      </c>
      <c r="D19" s="747">
        <f>F19+H19+J19+L19+N19+P19+R19+T19</f>
        <v>0</v>
      </c>
      <c r="E19" s="747">
        <f>G19+I19+K19+M19+O19+Q19+S19+U19</f>
        <v>0</v>
      </c>
      <c r="F19" s="749"/>
      <c r="G19" s="749"/>
      <c r="H19" s="749"/>
      <c r="I19" s="749"/>
      <c r="J19" s="749"/>
      <c r="K19" s="749"/>
      <c r="L19" s="749"/>
      <c r="M19" s="749"/>
      <c r="N19" s="749"/>
      <c r="O19" s="749"/>
      <c r="P19" s="749"/>
      <c r="Q19" s="749"/>
      <c r="R19" s="749"/>
      <c r="S19" s="749"/>
      <c r="T19" s="750"/>
      <c r="U19" s="751"/>
    </row>
    <row r="20" spans="2:21" ht="15" customHeight="1">
      <c r="B20" s="97" t="s">
        <v>248</v>
      </c>
      <c r="C20" s="87" t="s">
        <v>272</v>
      </c>
      <c r="D20" s="747">
        <f t="shared" ref="D20:D25" si="2">F20+H20+J20+L20+N20+P20+R20+T20</f>
        <v>171450</v>
      </c>
      <c r="E20" s="747">
        <f t="shared" ref="E20:E25" si="3">G20+I20+K20+M20+O20+Q20+S20+U20</f>
        <v>171450</v>
      </c>
      <c r="F20" s="749"/>
      <c r="G20" s="749"/>
      <c r="H20" s="749">
        <v>171450</v>
      </c>
      <c r="I20" s="749">
        <v>171450</v>
      </c>
      <c r="J20" s="749"/>
      <c r="K20" s="749"/>
      <c r="L20" s="749"/>
      <c r="M20" s="749"/>
      <c r="N20" s="749"/>
      <c r="O20" s="749"/>
      <c r="P20" s="749"/>
      <c r="Q20" s="749"/>
      <c r="R20" s="749"/>
      <c r="S20" s="749"/>
      <c r="T20" s="750"/>
      <c r="U20" s="751"/>
    </row>
    <row r="21" spans="2:21" ht="15" customHeight="1">
      <c r="B21" s="97" t="s">
        <v>248</v>
      </c>
      <c r="C21" s="87" t="s">
        <v>273</v>
      </c>
      <c r="D21" s="747">
        <f t="shared" si="2"/>
        <v>11724900</v>
      </c>
      <c r="E21" s="747">
        <f t="shared" si="3"/>
        <v>11724900</v>
      </c>
      <c r="F21" s="749"/>
      <c r="G21" s="749"/>
      <c r="H21" s="749">
        <v>11724900</v>
      </c>
      <c r="I21" s="749">
        <v>11724900</v>
      </c>
      <c r="J21" s="749"/>
      <c r="K21" s="749"/>
      <c r="L21" s="749"/>
      <c r="M21" s="749"/>
      <c r="N21" s="749"/>
      <c r="O21" s="749"/>
      <c r="P21" s="749"/>
      <c r="Q21" s="749"/>
      <c r="R21" s="749"/>
      <c r="S21" s="749"/>
      <c r="T21" s="750"/>
      <c r="U21" s="751"/>
    </row>
    <row r="22" spans="2:21" ht="15" customHeight="1">
      <c r="B22" s="97" t="s">
        <v>248</v>
      </c>
      <c r="C22" s="87" t="s">
        <v>506</v>
      </c>
      <c r="D22" s="747">
        <f t="shared" ref="D22:E24" si="4">F22+H22+J22+L22+N22+P22+R22+T22</f>
        <v>0</v>
      </c>
      <c r="E22" s="747">
        <f t="shared" si="4"/>
        <v>0</v>
      </c>
      <c r="F22" s="749"/>
      <c r="G22" s="749"/>
      <c r="H22" s="749"/>
      <c r="I22" s="749"/>
      <c r="J22" s="749"/>
      <c r="K22" s="749"/>
      <c r="L22" s="749"/>
      <c r="M22" s="749"/>
      <c r="N22" s="749"/>
      <c r="O22" s="749"/>
      <c r="P22" s="749"/>
      <c r="Q22" s="749"/>
      <c r="R22" s="749"/>
      <c r="S22" s="749"/>
      <c r="T22" s="750"/>
      <c r="U22" s="751"/>
    </row>
    <row r="23" spans="2:21" ht="15" customHeight="1">
      <c r="B23" s="97" t="s">
        <v>248</v>
      </c>
      <c r="C23" s="87" t="s">
        <v>505</v>
      </c>
      <c r="D23" s="747">
        <f t="shared" si="4"/>
        <v>12700</v>
      </c>
      <c r="E23" s="747">
        <f t="shared" si="4"/>
        <v>12700</v>
      </c>
      <c r="F23" s="749"/>
      <c r="G23" s="749"/>
      <c r="H23" s="749">
        <v>12700</v>
      </c>
      <c r="I23" s="749">
        <v>12700</v>
      </c>
      <c r="J23" s="749"/>
      <c r="K23" s="749"/>
      <c r="L23" s="749"/>
      <c r="M23" s="749"/>
      <c r="N23" s="749"/>
      <c r="O23" s="749"/>
      <c r="P23" s="749"/>
      <c r="Q23" s="749"/>
      <c r="R23" s="749"/>
      <c r="S23" s="749"/>
      <c r="T23" s="750"/>
      <c r="U23" s="751"/>
    </row>
    <row r="24" spans="2:21" ht="15" customHeight="1">
      <c r="B24" s="493" t="s">
        <v>377</v>
      </c>
      <c r="C24" s="87" t="s">
        <v>517</v>
      </c>
      <c r="D24" s="747">
        <f t="shared" si="4"/>
        <v>0</v>
      </c>
      <c r="E24" s="747">
        <f t="shared" si="4"/>
        <v>0</v>
      </c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749"/>
      <c r="R24" s="749"/>
      <c r="S24" s="749"/>
      <c r="T24" s="750"/>
      <c r="U24" s="751"/>
    </row>
    <row r="25" spans="2:21" ht="15" customHeight="1">
      <c r="B25" s="109" t="s">
        <v>248</v>
      </c>
      <c r="C25" s="87" t="s">
        <v>252</v>
      </c>
      <c r="D25" s="747">
        <f t="shared" si="2"/>
        <v>87124329</v>
      </c>
      <c r="E25" s="747">
        <f t="shared" si="3"/>
        <v>89122560</v>
      </c>
      <c r="F25" s="749"/>
      <c r="G25" s="749"/>
      <c r="H25" s="749"/>
      <c r="I25" s="749"/>
      <c r="J25" s="749"/>
      <c r="K25" s="749"/>
      <c r="L25" s="749"/>
      <c r="M25" s="749"/>
      <c r="N25" s="749"/>
      <c r="O25" s="749"/>
      <c r="P25" s="749"/>
      <c r="Q25" s="749"/>
      <c r="R25" s="749">
        <v>87124329</v>
      </c>
      <c r="S25" s="749">
        <v>87124329</v>
      </c>
      <c r="T25" s="750"/>
      <c r="U25" s="751">
        <v>1998231</v>
      </c>
    </row>
    <row r="26" spans="2:21" ht="15" customHeight="1">
      <c r="B26" s="97"/>
      <c r="C26" s="99" t="s">
        <v>294</v>
      </c>
      <c r="D26" s="747">
        <f t="shared" ref="D26:U26" si="5">SUM(D19:D25)</f>
        <v>99033379</v>
      </c>
      <c r="E26" s="747">
        <f>SUM(E19:E25)</f>
        <v>101031610</v>
      </c>
      <c r="F26" s="747">
        <f t="shared" si="5"/>
        <v>0</v>
      </c>
      <c r="G26" s="747">
        <f t="shared" si="5"/>
        <v>0</v>
      </c>
      <c r="H26" s="747">
        <f t="shared" si="5"/>
        <v>11909050</v>
      </c>
      <c r="I26" s="747">
        <f t="shared" si="5"/>
        <v>11909050</v>
      </c>
      <c r="J26" s="747">
        <f t="shared" si="5"/>
        <v>0</v>
      </c>
      <c r="K26" s="747">
        <f t="shared" si="5"/>
        <v>0</v>
      </c>
      <c r="L26" s="747">
        <f t="shared" si="5"/>
        <v>0</v>
      </c>
      <c r="M26" s="747">
        <f t="shared" si="5"/>
        <v>0</v>
      </c>
      <c r="N26" s="747">
        <f t="shared" si="5"/>
        <v>0</v>
      </c>
      <c r="O26" s="747">
        <f t="shared" si="5"/>
        <v>0</v>
      </c>
      <c r="P26" s="747">
        <f t="shared" si="5"/>
        <v>0</v>
      </c>
      <c r="Q26" s="747">
        <f t="shared" si="5"/>
        <v>0</v>
      </c>
      <c r="R26" s="747">
        <f t="shared" si="5"/>
        <v>87124329</v>
      </c>
      <c r="S26" s="747">
        <f t="shared" si="5"/>
        <v>87124329</v>
      </c>
      <c r="T26" s="790">
        <f t="shared" si="5"/>
        <v>0</v>
      </c>
      <c r="U26" s="791">
        <f t="shared" si="5"/>
        <v>1998231</v>
      </c>
    </row>
    <row r="27" spans="2:21" ht="15" customHeight="1">
      <c r="B27" s="97"/>
      <c r="C27" s="87"/>
      <c r="D27" s="747"/>
      <c r="E27" s="747"/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50"/>
      <c r="U27" s="751"/>
    </row>
    <row r="28" spans="2:21" ht="15" customHeight="1">
      <c r="B28" s="500" t="s">
        <v>377</v>
      </c>
      <c r="C28" s="87" t="s">
        <v>490</v>
      </c>
      <c r="D28" s="747">
        <f t="shared" ref="D28:E32" si="6">F28+H28+J28+L28+N28+P28+R28+T28</f>
        <v>39694923</v>
      </c>
      <c r="E28" s="747">
        <f t="shared" si="6"/>
        <v>15539847</v>
      </c>
      <c r="F28" s="749"/>
      <c r="G28" s="749"/>
      <c r="H28" s="749"/>
      <c r="I28" s="749"/>
      <c r="J28" s="749">
        <v>39694923</v>
      </c>
      <c r="K28" s="749">
        <f>39694923-24155076</f>
        <v>15539847</v>
      </c>
      <c r="L28" s="749"/>
      <c r="M28" s="749"/>
      <c r="N28" s="749"/>
      <c r="O28" s="749"/>
      <c r="P28" s="749"/>
      <c r="Q28" s="749"/>
      <c r="R28" s="749"/>
      <c r="S28" s="749"/>
      <c r="T28" s="750"/>
      <c r="U28" s="751"/>
    </row>
    <row r="29" spans="2:21" ht="15" customHeight="1">
      <c r="B29" s="500" t="s">
        <v>377</v>
      </c>
      <c r="C29" s="87" t="s">
        <v>489</v>
      </c>
      <c r="D29" s="747">
        <f t="shared" si="6"/>
        <v>157149360</v>
      </c>
      <c r="E29" s="747">
        <f t="shared" si="6"/>
        <v>157149360</v>
      </c>
      <c r="F29" s="749"/>
      <c r="G29" s="749"/>
      <c r="H29" s="749">
        <v>157149360</v>
      </c>
      <c r="I29" s="749">
        <v>157149360</v>
      </c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50"/>
      <c r="U29" s="751"/>
    </row>
    <row r="30" spans="2:21" ht="15" customHeight="1">
      <c r="B30" s="500" t="s">
        <v>377</v>
      </c>
      <c r="C30" s="87" t="s">
        <v>784</v>
      </c>
      <c r="D30" s="747">
        <f t="shared" si="6"/>
        <v>0</v>
      </c>
      <c r="E30" s="747">
        <f t="shared" si="6"/>
        <v>0</v>
      </c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49"/>
      <c r="R30" s="749"/>
      <c r="S30" s="749"/>
      <c r="T30" s="750"/>
      <c r="U30" s="751"/>
    </row>
    <row r="31" spans="2:21" ht="23.25" customHeight="1">
      <c r="B31" s="500" t="s">
        <v>377</v>
      </c>
      <c r="C31" s="1014" t="s">
        <v>786</v>
      </c>
      <c r="D31" s="747">
        <f t="shared" si="6"/>
        <v>5284739</v>
      </c>
      <c r="E31" s="747">
        <f t="shared" si="6"/>
        <v>5284739</v>
      </c>
      <c r="F31" s="749"/>
      <c r="G31" s="749"/>
      <c r="H31" s="749">
        <v>5284739</v>
      </c>
      <c r="I31" s="749">
        <v>5284739</v>
      </c>
      <c r="J31" s="749"/>
      <c r="K31" s="749"/>
      <c r="L31" s="749"/>
      <c r="M31" s="749"/>
      <c r="N31" s="749"/>
      <c r="O31" s="749"/>
      <c r="P31" s="749"/>
      <c r="Q31" s="749"/>
      <c r="R31" s="749"/>
      <c r="S31" s="749"/>
      <c r="T31" s="750"/>
      <c r="U31" s="751"/>
    </row>
    <row r="32" spans="2:21" ht="15" customHeight="1">
      <c r="B32" s="500" t="s">
        <v>377</v>
      </c>
      <c r="C32" s="87" t="s">
        <v>785</v>
      </c>
      <c r="D32" s="747">
        <f t="shared" si="6"/>
        <v>1859200</v>
      </c>
      <c r="E32" s="747">
        <f t="shared" si="6"/>
        <v>1859200</v>
      </c>
      <c r="F32" s="749"/>
      <c r="G32" s="749"/>
      <c r="H32" s="749">
        <v>1859200</v>
      </c>
      <c r="I32" s="749">
        <v>1859200</v>
      </c>
      <c r="J32" s="749"/>
      <c r="K32" s="749"/>
      <c r="L32" s="749"/>
      <c r="M32" s="749"/>
      <c r="N32" s="749"/>
      <c r="O32" s="749"/>
      <c r="P32" s="749"/>
      <c r="Q32" s="749"/>
      <c r="R32" s="749"/>
      <c r="S32" s="749"/>
      <c r="T32" s="750"/>
      <c r="U32" s="751"/>
    </row>
    <row r="33" spans="2:21" ht="15" customHeight="1">
      <c r="B33" s="500" t="s">
        <v>377</v>
      </c>
      <c r="C33" s="87" t="s">
        <v>560</v>
      </c>
      <c r="D33" s="747">
        <f t="shared" ref="D33:E35" si="7">F33+H33+J33+L33+N33+P33+R33+T33</f>
        <v>1285240</v>
      </c>
      <c r="E33" s="747">
        <f t="shared" si="7"/>
        <v>1285240</v>
      </c>
      <c r="F33" s="749"/>
      <c r="G33" s="749"/>
      <c r="H33" s="749">
        <v>1285240</v>
      </c>
      <c r="I33" s="749">
        <v>1285240</v>
      </c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50"/>
      <c r="U33" s="751"/>
    </row>
    <row r="34" spans="2:21" ht="15" customHeight="1">
      <c r="B34" s="500" t="s">
        <v>275</v>
      </c>
      <c r="C34" s="87" t="s">
        <v>274</v>
      </c>
      <c r="D34" s="747">
        <f t="shared" si="7"/>
        <v>1050000</v>
      </c>
      <c r="E34" s="747">
        <f t="shared" si="7"/>
        <v>1050000</v>
      </c>
      <c r="F34" s="749"/>
      <c r="G34" s="749"/>
      <c r="H34" s="749">
        <v>1050000</v>
      </c>
      <c r="I34" s="749">
        <v>1050000</v>
      </c>
      <c r="J34" s="749"/>
      <c r="K34" s="749"/>
      <c r="L34" s="749"/>
      <c r="M34" s="749"/>
      <c r="N34" s="749"/>
      <c r="O34" s="749"/>
      <c r="P34" s="749"/>
      <c r="Q34" s="749"/>
      <c r="R34" s="749"/>
      <c r="S34" s="749"/>
      <c r="T34" s="750"/>
      <c r="U34" s="751"/>
    </row>
    <row r="35" spans="2:21" ht="15" customHeight="1">
      <c r="B35" s="109" t="s">
        <v>377</v>
      </c>
      <c r="C35" s="87" t="s">
        <v>252</v>
      </c>
      <c r="D35" s="747">
        <f t="shared" si="7"/>
        <v>423742719</v>
      </c>
      <c r="E35" s="747">
        <f t="shared" si="7"/>
        <v>472167333</v>
      </c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>
        <v>423742719</v>
      </c>
      <c r="S35" s="749">
        <f>423742719+45693048</f>
        <v>469435767</v>
      </c>
      <c r="T35" s="750"/>
      <c r="U35" s="751">
        <v>2731566</v>
      </c>
    </row>
    <row r="36" spans="2:21" ht="15" customHeight="1">
      <c r="B36" s="97"/>
      <c r="C36" s="99" t="s">
        <v>293</v>
      </c>
      <c r="D36" s="747">
        <f t="shared" ref="D36:U36" si="8">SUM(D28:D35)</f>
        <v>630066181</v>
      </c>
      <c r="E36" s="747">
        <f t="shared" si="8"/>
        <v>654335719</v>
      </c>
      <c r="F36" s="747">
        <f t="shared" si="8"/>
        <v>0</v>
      </c>
      <c r="G36" s="747">
        <f t="shared" si="8"/>
        <v>0</v>
      </c>
      <c r="H36" s="747">
        <f t="shared" si="8"/>
        <v>166628539</v>
      </c>
      <c r="I36" s="747">
        <f t="shared" si="8"/>
        <v>166628539</v>
      </c>
      <c r="J36" s="747">
        <f t="shared" si="8"/>
        <v>39694923</v>
      </c>
      <c r="K36" s="747">
        <f t="shared" si="8"/>
        <v>15539847</v>
      </c>
      <c r="L36" s="747">
        <f t="shared" si="8"/>
        <v>0</v>
      </c>
      <c r="M36" s="747">
        <f t="shared" si="8"/>
        <v>0</v>
      </c>
      <c r="N36" s="747">
        <f t="shared" si="8"/>
        <v>0</v>
      </c>
      <c r="O36" s="747">
        <f t="shared" si="8"/>
        <v>0</v>
      </c>
      <c r="P36" s="747">
        <f t="shared" si="8"/>
        <v>0</v>
      </c>
      <c r="Q36" s="747">
        <f t="shared" si="8"/>
        <v>0</v>
      </c>
      <c r="R36" s="747">
        <f t="shared" si="8"/>
        <v>423742719</v>
      </c>
      <c r="S36" s="747">
        <f t="shared" si="8"/>
        <v>469435767</v>
      </c>
      <c r="T36" s="790">
        <f t="shared" si="8"/>
        <v>0</v>
      </c>
      <c r="U36" s="791">
        <f t="shared" si="8"/>
        <v>2731566</v>
      </c>
    </row>
    <row r="37" spans="2:21" ht="15" customHeight="1">
      <c r="B37" s="97"/>
      <c r="C37" s="87"/>
      <c r="D37" s="747"/>
      <c r="E37" s="747"/>
      <c r="F37" s="749"/>
      <c r="G37" s="749"/>
      <c r="H37" s="749"/>
      <c r="I37" s="749"/>
      <c r="J37" s="749"/>
      <c r="K37" s="749"/>
      <c r="L37" s="749"/>
      <c r="M37" s="749"/>
      <c r="N37" s="749"/>
      <c r="O37" s="749"/>
      <c r="P37" s="749"/>
      <c r="Q37" s="749"/>
      <c r="R37" s="749"/>
      <c r="S37" s="749"/>
      <c r="T37" s="750"/>
      <c r="U37" s="751"/>
    </row>
    <row r="38" spans="2:21" ht="15" customHeight="1">
      <c r="B38" s="109" t="s">
        <v>248</v>
      </c>
      <c r="C38" s="108" t="s">
        <v>249</v>
      </c>
      <c r="D38" s="747">
        <f t="shared" ref="D38:D47" si="9">F38+H38+J38+L38+N38+P38+R38+T38</f>
        <v>2914000</v>
      </c>
      <c r="E38" s="747">
        <f t="shared" ref="E38:E47" si="10">G38+I38+K38+M38+O38+Q38+S38+U38</f>
        <v>2914000</v>
      </c>
      <c r="F38" s="749"/>
      <c r="G38" s="749"/>
      <c r="H38" s="749">
        <v>2914000</v>
      </c>
      <c r="I38" s="749">
        <v>2914000</v>
      </c>
      <c r="J38" s="749"/>
      <c r="K38" s="749"/>
      <c r="L38" s="749"/>
      <c r="M38" s="749"/>
      <c r="N38" s="749"/>
      <c r="O38" s="749"/>
      <c r="P38" s="749"/>
      <c r="Q38" s="749"/>
      <c r="R38" s="749"/>
      <c r="S38" s="749"/>
      <c r="T38" s="750"/>
      <c r="U38" s="751"/>
    </row>
    <row r="39" spans="2:21" ht="15" customHeight="1">
      <c r="B39" s="109" t="s">
        <v>248</v>
      </c>
      <c r="C39" s="108" t="s">
        <v>254</v>
      </c>
      <c r="D39" s="747">
        <f t="shared" si="9"/>
        <v>0</v>
      </c>
      <c r="E39" s="747">
        <f t="shared" si="10"/>
        <v>0</v>
      </c>
      <c r="F39" s="749"/>
      <c r="G39" s="749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50"/>
      <c r="U39" s="751"/>
    </row>
    <row r="40" spans="2:21" ht="15" customHeight="1">
      <c r="B40" s="109" t="s">
        <v>248</v>
      </c>
      <c r="C40" s="108" t="s">
        <v>276</v>
      </c>
      <c r="D40" s="747">
        <f t="shared" si="9"/>
        <v>0</v>
      </c>
      <c r="E40" s="747">
        <f t="shared" si="10"/>
        <v>0</v>
      </c>
      <c r="F40" s="749"/>
      <c r="G40" s="749"/>
      <c r="H40" s="749"/>
      <c r="I40" s="749"/>
      <c r="J40" s="749"/>
      <c r="K40" s="749"/>
      <c r="L40" s="749"/>
      <c r="M40" s="749"/>
      <c r="N40" s="749"/>
      <c r="O40" s="749"/>
      <c r="P40" s="749"/>
      <c r="Q40" s="749"/>
      <c r="R40" s="749"/>
      <c r="S40" s="749"/>
      <c r="T40" s="750"/>
      <c r="U40" s="751"/>
    </row>
    <row r="41" spans="2:21" ht="15" customHeight="1">
      <c r="B41" s="109" t="s">
        <v>248</v>
      </c>
      <c r="C41" s="108" t="s">
        <v>277</v>
      </c>
      <c r="D41" s="747">
        <f t="shared" si="9"/>
        <v>63500</v>
      </c>
      <c r="E41" s="747">
        <f t="shared" si="10"/>
        <v>63500</v>
      </c>
      <c r="F41" s="749"/>
      <c r="G41" s="749"/>
      <c r="H41" s="749">
        <v>63500</v>
      </c>
      <c r="I41" s="749">
        <v>63500</v>
      </c>
      <c r="J41" s="749"/>
      <c r="K41" s="749"/>
      <c r="L41" s="749"/>
      <c r="M41" s="749"/>
      <c r="N41" s="749"/>
      <c r="O41" s="749"/>
      <c r="P41" s="749"/>
      <c r="Q41" s="749"/>
      <c r="R41" s="749"/>
      <c r="S41" s="749"/>
      <c r="T41" s="750"/>
      <c r="U41" s="751"/>
    </row>
    <row r="42" spans="2:21" ht="15" customHeight="1">
      <c r="B42" s="109" t="s">
        <v>248</v>
      </c>
      <c r="C42" s="108" t="s">
        <v>288</v>
      </c>
      <c r="D42" s="747">
        <f t="shared" si="9"/>
        <v>21520753</v>
      </c>
      <c r="E42" s="747">
        <f t="shared" si="10"/>
        <v>21520753</v>
      </c>
      <c r="F42" s="749"/>
      <c r="G42" s="748"/>
      <c r="H42" s="749">
        <v>21520753</v>
      </c>
      <c r="I42" s="749">
        <v>21520753</v>
      </c>
      <c r="J42" s="749"/>
      <c r="K42" s="749"/>
      <c r="L42" s="749"/>
      <c r="M42" s="749"/>
      <c r="N42" s="749"/>
      <c r="O42" s="749"/>
      <c r="P42" s="749"/>
      <c r="Q42" s="749"/>
      <c r="R42" s="749"/>
      <c r="S42" s="749"/>
      <c r="T42" s="750"/>
      <c r="U42" s="751"/>
    </row>
    <row r="43" spans="2:21" ht="15" customHeight="1">
      <c r="B43" s="109" t="s">
        <v>248</v>
      </c>
      <c r="C43" s="108" t="s">
        <v>289</v>
      </c>
      <c r="D43" s="747">
        <f t="shared" si="9"/>
        <v>348615</v>
      </c>
      <c r="E43" s="747">
        <f t="shared" si="10"/>
        <v>348615</v>
      </c>
      <c r="F43" s="749"/>
      <c r="G43" s="748"/>
      <c r="H43" s="749">
        <v>348615</v>
      </c>
      <c r="I43" s="749">
        <v>348615</v>
      </c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50"/>
      <c r="U43" s="751"/>
    </row>
    <row r="44" spans="2:21" ht="15" customHeight="1">
      <c r="B44" s="109" t="s">
        <v>248</v>
      </c>
      <c r="C44" s="108" t="s">
        <v>327</v>
      </c>
      <c r="D44" s="747">
        <f t="shared" si="9"/>
        <v>0</v>
      </c>
      <c r="E44" s="747">
        <f t="shared" si="10"/>
        <v>0</v>
      </c>
      <c r="F44" s="749"/>
      <c r="G44" s="748"/>
      <c r="H44" s="749"/>
      <c r="I44" s="749"/>
      <c r="J44" s="749"/>
      <c r="K44" s="749"/>
      <c r="L44" s="749"/>
      <c r="M44" s="749"/>
      <c r="N44" s="749"/>
      <c r="O44" s="749"/>
      <c r="P44" s="749"/>
      <c r="Q44" s="749"/>
      <c r="R44" s="749"/>
      <c r="S44" s="749"/>
      <c r="T44" s="750"/>
      <c r="U44" s="751"/>
    </row>
    <row r="45" spans="2:21" ht="15" hidden="1" customHeight="1">
      <c r="B45" s="109" t="s">
        <v>248</v>
      </c>
      <c r="C45" s="108" t="s">
        <v>561</v>
      </c>
      <c r="D45" s="747">
        <f t="shared" si="9"/>
        <v>0</v>
      </c>
      <c r="E45" s="747">
        <f t="shared" si="10"/>
        <v>0</v>
      </c>
      <c r="F45" s="749"/>
      <c r="G45" s="748"/>
      <c r="H45" s="749"/>
      <c r="I45" s="749"/>
      <c r="J45" s="749"/>
      <c r="K45" s="749"/>
      <c r="L45" s="749"/>
      <c r="M45" s="749"/>
      <c r="N45" s="749"/>
      <c r="O45" s="749"/>
      <c r="P45" s="749"/>
      <c r="Q45" s="749"/>
      <c r="R45" s="749"/>
      <c r="S45" s="749"/>
      <c r="T45" s="750"/>
      <c r="U45" s="751"/>
    </row>
    <row r="46" spans="2:21" ht="37.5" customHeight="1">
      <c r="B46" s="109" t="s">
        <v>377</v>
      </c>
      <c r="C46" s="483" t="s">
        <v>504</v>
      </c>
      <c r="D46" s="747">
        <f t="shared" si="9"/>
        <v>20491704</v>
      </c>
      <c r="E46" s="747">
        <f t="shared" si="10"/>
        <v>20491704</v>
      </c>
      <c r="F46" s="749"/>
      <c r="G46" s="748"/>
      <c r="H46" s="749">
        <v>20491704</v>
      </c>
      <c r="I46" s="749">
        <v>20491704</v>
      </c>
      <c r="J46" s="749"/>
      <c r="K46" s="749"/>
      <c r="L46" s="749"/>
      <c r="M46" s="749"/>
      <c r="N46" s="749"/>
      <c r="O46" s="749"/>
      <c r="P46" s="749"/>
      <c r="Q46" s="749"/>
      <c r="R46" s="749"/>
      <c r="S46" s="749"/>
      <c r="T46" s="750"/>
      <c r="U46" s="751"/>
    </row>
    <row r="47" spans="2:21" ht="15" customHeight="1">
      <c r="B47" s="109" t="s">
        <v>248</v>
      </c>
      <c r="C47" s="87" t="s">
        <v>252</v>
      </c>
      <c r="D47" s="747">
        <f t="shared" si="9"/>
        <v>232267856</v>
      </c>
      <c r="E47" s="747">
        <f t="shared" si="10"/>
        <v>232384635</v>
      </c>
      <c r="F47" s="749"/>
      <c r="G47" s="749"/>
      <c r="H47" s="749"/>
      <c r="I47" s="749"/>
      <c r="J47" s="749"/>
      <c r="K47" s="749"/>
      <c r="L47" s="749"/>
      <c r="M47" s="749"/>
      <c r="N47" s="749"/>
      <c r="O47" s="749"/>
      <c r="P47" s="749"/>
      <c r="Q47" s="749"/>
      <c r="R47" s="749">
        <v>232267856</v>
      </c>
      <c r="S47" s="749">
        <v>232267856</v>
      </c>
      <c r="T47" s="750"/>
      <c r="U47" s="751">
        <v>116779</v>
      </c>
    </row>
    <row r="48" spans="2:21" ht="15" customHeight="1">
      <c r="B48" s="97"/>
      <c r="C48" s="99" t="s">
        <v>335</v>
      </c>
      <c r="D48" s="747">
        <f>SUM(D37:D47)</f>
        <v>277606428</v>
      </c>
      <c r="E48" s="747">
        <f>SUM(E37:E47)</f>
        <v>277723207</v>
      </c>
      <c r="F48" s="747">
        <f t="shared" ref="F48:U48" si="11">SUM(F37:F47)</f>
        <v>0</v>
      </c>
      <c r="G48" s="747">
        <f t="shared" si="11"/>
        <v>0</v>
      </c>
      <c r="H48" s="747">
        <f t="shared" si="11"/>
        <v>45338572</v>
      </c>
      <c r="I48" s="747">
        <f t="shared" si="11"/>
        <v>45338572</v>
      </c>
      <c r="J48" s="747">
        <f t="shared" si="11"/>
        <v>0</v>
      </c>
      <c r="K48" s="747">
        <f t="shared" si="11"/>
        <v>0</v>
      </c>
      <c r="L48" s="747">
        <f t="shared" si="11"/>
        <v>0</v>
      </c>
      <c r="M48" s="747">
        <f t="shared" si="11"/>
        <v>0</v>
      </c>
      <c r="N48" s="747">
        <f t="shared" si="11"/>
        <v>0</v>
      </c>
      <c r="O48" s="747">
        <f t="shared" si="11"/>
        <v>0</v>
      </c>
      <c r="P48" s="747">
        <f t="shared" si="11"/>
        <v>0</v>
      </c>
      <c r="Q48" s="747">
        <f t="shared" si="11"/>
        <v>0</v>
      </c>
      <c r="R48" s="747">
        <f t="shared" si="11"/>
        <v>232267856</v>
      </c>
      <c r="S48" s="747">
        <f t="shared" si="11"/>
        <v>232267856</v>
      </c>
      <c r="T48" s="747">
        <f t="shared" si="11"/>
        <v>0</v>
      </c>
      <c r="U48" s="747">
        <f t="shared" si="11"/>
        <v>116779</v>
      </c>
    </row>
    <row r="49" spans="2:21" ht="15" customHeight="1" thickBot="1">
      <c r="B49" s="254"/>
      <c r="C49" s="255"/>
      <c r="D49" s="752"/>
      <c r="E49" s="752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4"/>
      <c r="S49" s="754"/>
      <c r="T49" s="755"/>
      <c r="U49" s="756"/>
    </row>
    <row r="50" spans="2:21" ht="15" customHeight="1" thickBot="1">
      <c r="B50" s="1175" t="s">
        <v>71</v>
      </c>
      <c r="C50" s="1207"/>
      <c r="D50" s="757">
        <f t="shared" ref="D50:U50" si="12">D17+D26+D36+D48</f>
        <v>1283411262</v>
      </c>
      <c r="E50" s="757">
        <f t="shared" si="12"/>
        <v>1310830615</v>
      </c>
      <c r="F50" s="757">
        <f t="shared" si="12"/>
        <v>0</v>
      </c>
      <c r="G50" s="757">
        <f t="shared" si="12"/>
        <v>0</v>
      </c>
      <c r="H50" s="757">
        <f t="shared" si="12"/>
        <v>223876161</v>
      </c>
      <c r="I50" s="757">
        <f t="shared" si="12"/>
        <v>223876161</v>
      </c>
      <c r="J50" s="757">
        <f t="shared" si="12"/>
        <v>39694923</v>
      </c>
      <c r="K50" s="757">
        <f t="shared" si="12"/>
        <v>15539847</v>
      </c>
      <c r="L50" s="757">
        <f t="shared" si="12"/>
        <v>0</v>
      </c>
      <c r="M50" s="757">
        <f t="shared" si="12"/>
        <v>0</v>
      </c>
      <c r="N50" s="757">
        <f t="shared" si="12"/>
        <v>0</v>
      </c>
      <c r="O50" s="757">
        <f t="shared" si="12"/>
        <v>0</v>
      </c>
      <c r="P50" s="757">
        <f t="shared" si="12"/>
        <v>0</v>
      </c>
      <c r="Q50" s="757">
        <f t="shared" si="12"/>
        <v>0</v>
      </c>
      <c r="R50" s="757">
        <f t="shared" si="12"/>
        <v>1019840178</v>
      </c>
      <c r="S50" s="757">
        <f t="shared" si="12"/>
        <v>1065533226</v>
      </c>
      <c r="T50" s="824">
        <f t="shared" si="12"/>
        <v>0</v>
      </c>
      <c r="U50" s="825">
        <f t="shared" si="12"/>
        <v>5881381</v>
      </c>
    </row>
    <row r="51" spans="2:21" ht="15" customHeight="1" thickBot="1">
      <c r="B51" s="256"/>
      <c r="C51" s="257"/>
      <c r="D51" s="862"/>
      <c r="E51" s="862"/>
      <c r="F51" s="828"/>
      <c r="G51" s="828"/>
      <c r="H51" s="828"/>
      <c r="I51" s="828"/>
      <c r="J51" s="828"/>
      <c r="K51" s="828"/>
      <c r="L51" s="828"/>
      <c r="M51" s="828"/>
      <c r="N51" s="828"/>
      <c r="O51" s="828"/>
      <c r="P51" s="828"/>
      <c r="Q51" s="828"/>
      <c r="R51" s="828"/>
      <c r="S51" s="828"/>
      <c r="T51" s="832"/>
      <c r="U51" s="833"/>
    </row>
    <row r="52" spans="2:21" ht="15" customHeight="1" thickBot="1">
      <c r="B52" s="1175" t="s">
        <v>10</v>
      </c>
      <c r="C52" s="1207"/>
      <c r="D52" s="843">
        <f>D50-D54-D56</f>
        <v>641282556</v>
      </c>
      <c r="E52" s="843">
        <f>E50-E54-E56</f>
        <v>643147131</v>
      </c>
      <c r="F52" s="843">
        <f t="shared" ref="F52:T52" si="13">F50-F54-F56</f>
        <v>0</v>
      </c>
      <c r="G52" s="843">
        <f t="shared" si="13"/>
        <v>0</v>
      </c>
      <c r="H52" s="843">
        <f t="shared" si="13"/>
        <v>43899857</v>
      </c>
      <c r="I52" s="843">
        <f t="shared" si="13"/>
        <v>43899857</v>
      </c>
      <c r="J52" s="843">
        <f t="shared" si="13"/>
        <v>0</v>
      </c>
      <c r="K52" s="843">
        <f t="shared" si="13"/>
        <v>0</v>
      </c>
      <c r="L52" s="843">
        <f t="shared" si="13"/>
        <v>0</v>
      </c>
      <c r="M52" s="843">
        <f t="shared" si="13"/>
        <v>0</v>
      </c>
      <c r="N52" s="843">
        <f t="shared" si="13"/>
        <v>0</v>
      </c>
      <c r="O52" s="843">
        <f t="shared" si="13"/>
        <v>0</v>
      </c>
      <c r="P52" s="843">
        <f t="shared" si="13"/>
        <v>0</v>
      </c>
      <c r="Q52" s="843">
        <f t="shared" si="13"/>
        <v>0</v>
      </c>
      <c r="R52" s="843">
        <f t="shared" si="13"/>
        <v>596097459</v>
      </c>
      <c r="S52" s="843">
        <f t="shared" si="13"/>
        <v>596097459</v>
      </c>
      <c r="T52" s="843">
        <f t="shared" si="13"/>
        <v>0</v>
      </c>
      <c r="U52" s="846">
        <f>U12+U13+U14+U15+U16+U19+U20+U21+U25+U38+U39+U40+U41+U42+U44+U47</f>
        <v>3149815</v>
      </c>
    </row>
    <row r="53" spans="2:21" ht="15" customHeight="1" thickBot="1">
      <c r="B53" s="256"/>
      <c r="C53" s="258"/>
      <c r="D53" s="839"/>
      <c r="E53" s="839"/>
      <c r="F53" s="839"/>
      <c r="G53" s="839"/>
      <c r="H53" s="839"/>
      <c r="I53" s="839"/>
      <c r="J53" s="839"/>
      <c r="K53" s="839"/>
      <c r="L53" s="839"/>
      <c r="M53" s="839"/>
      <c r="N53" s="839"/>
      <c r="O53" s="839"/>
      <c r="P53" s="839"/>
      <c r="Q53" s="839"/>
      <c r="R53" s="839"/>
      <c r="S53" s="839"/>
      <c r="T53" s="841"/>
      <c r="U53" s="842"/>
    </row>
    <row r="54" spans="2:21" ht="15" customHeight="1" thickBot="1">
      <c r="B54" s="1175" t="s">
        <v>376</v>
      </c>
      <c r="C54" s="1207"/>
      <c r="D54" s="843">
        <f>D46+D35+D34+D30+D29+D28+D24</f>
        <v>642128706</v>
      </c>
      <c r="E54" s="843">
        <f t="shared" ref="E54:U54" si="14">E46+E35+E34+E30+E29+E28+E24+E33</f>
        <v>667683484</v>
      </c>
      <c r="F54" s="843">
        <f t="shared" si="14"/>
        <v>0</v>
      </c>
      <c r="G54" s="843">
        <f t="shared" si="14"/>
        <v>0</v>
      </c>
      <c r="H54" s="843">
        <f t="shared" si="14"/>
        <v>179976304</v>
      </c>
      <c r="I54" s="843">
        <f t="shared" si="14"/>
        <v>179976304</v>
      </c>
      <c r="J54" s="843">
        <f t="shared" si="14"/>
        <v>39694923</v>
      </c>
      <c r="K54" s="843">
        <f t="shared" si="14"/>
        <v>15539847</v>
      </c>
      <c r="L54" s="843">
        <f t="shared" si="14"/>
        <v>0</v>
      </c>
      <c r="M54" s="843">
        <f t="shared" si="14"/>
        <v>0</v>
      </c>
      <c r="N54" s="843">
        <f t="shared" si="14"/>
        <v>0</v>
      </c>
      <c r="O54" s="843">
        <f t="shared" si="14"/>
        <v>0</v>
      </c>
      <c r="P54" s="843">
        <f t="shared" si="14"/>
        <v>0</v>
      </c>
      <c r="Q54" s="843">
        <f t="shared" si="14"/>
        <v>0</v>
      </c>
      <c r="R54" s="843">
        <f t="shared" si="14"/>
        <v>423742719</v>
      </c>
      <c r="S54" s="843">
        <f t="shared" si="14"/>
        <v>469435767</v>
      </c>
      <c r="T54" s="843">
        <f t="shared" si="14"/>
        <v>0</v>
      </c>
      <c r="U54" s="843">
        <f t="shared" si="14"/>
        <v>2731566</v>
      </c>
    </row>
    <row r="55" spans="2:21" ht="15" customHeight="1" thickBot="1">
      <c r="B55" s="256"/>
      <c r="C55" s="258"/>
      <c r="D55" s="839"/>
      <c r="E55" s="839"/>
      <c r="F55" s="839"/>
      <c r="G55" s="839"/>
      <c r="H55" s="839"/>
      <c r="I55" s="839"/>
      <c r="J55" s="839"/>
      <c r="K55" s="839"/>
      <c r="L55" s="839"/>
      <c r="M55" s="839"/>
      <c r="N55" s="839"/>
      <c r="O55" s="839"/>
      <c r="P55" s="839"/>
      <c r="Q55" s="839"/>
      <c r="R55" s="839"/>
      <c r="S55" s="839"/>
      <c r="T55" s="841"/>
      <c r="U55" s="842"/>
    </row>
    <row r="56" spans="2:21" ht="15" customHeight="1" thickBot="1">
      <c r="B56" s="1175" t="s">
        <v>435</v>
      </c>
      <c r="C56" s="1207"/>
      <c r="D56" s="843">
        <v>0</v>
      </c>
      <c r="E56" s="843">
        <v>0</v>
      </c>
      <c r="F56" s="843">
        <v>0</v>
      </c>
      <c r="G56" s="843">
        <v>0</v>
      </c>
      <c r="H56" s="843">
        <v>0</v>
      </c>
      <c r="I56" s="843">
        <v>0</v>
      </c>
      <c r="J56" s="843">
        <v>0</v>
      </c>
      <c r="K56" s="843">
        <v>0</v>
      </c>
      <c r="L56" s="843">
        <v>0</v>
      </c>
      <c r="M56" s="843">
        <v>0</v>
      </c>
      <c r="N56" s="843">
        <v>0</v>
      </c>
      <c r="O56" s="843">
        <v>0</v>
      </c>
      <c r="P56" s="843">
        <v>0</v>
      </c>
      <c r="Q56" s="843">
        <v>0</v>
      </c>
      <c r="R56" s="843">
        <v>0</v>
      </c>
      <c r="S56" s="843">
        <v>0</v>
      </c>
      <c r="T56" s="845">
        <f>T35+T36+T37+T46+T48</f>
        <v>0</v>
      </c>
      <c r="U56" s="846">
        <f>U35+U36+U37+U46+U48</f>
        <v>5579911</v>
      </c>
    </row>
    <row r="57" spans="2:21" ht="15" customHeight="1">
      <c r="B57" s="94"/>
      <c r="C57" s="94"/>
      <c r="D57" s="863"/>
      <c r="E57" s="863"/>
      <c r="F57" s="863"/>
      <c r="G57" s="863"/>
      <c r="H57" s="863"/>
      <c r="I57" s="863"/>
      <c r="J57" s="863"/>
      <c r="K57" s="863"/>
      <c r="L57" s="863"/>
      <c r="M57" s="863"/>
      <c r="N57" s="184"/>
      <c r="O57" s="184"/>
      <c r="P57" s="184"/>
      <c r="Q57" s="184"/>
      <c r="R57" s="184"/>
      <c r="S57" s="184"/>
      <c r="T57" s="184"/>
      <c r="U57" s="184"/>
    </row>
    <row r="58" spans="2:21">
      <c r="D58" s="771">
        <f>D52+D54</f>
        <v>1283411262</v>
      </c>
      <c r="E58" s="771">
        <f>E52+E54</f>
        <v>1310830615</v>
      </c>
      <c r="F58" s="771">
        <f>F52+F54</f>
        <v>0</v>
      </c>
      <c r="G58" s="771">
        <f t="shared" ref="G58:U58" si="15">G52+G54</f>
        <v>0</v>
      </c>
      <c r="H58" s="771">
        <f>H52+H54</f>
        <v>223876161</v>
      </c>
      <c r="I58" s="771">
        <f t="shared" si="15"/>
        <v>223876161</v>
      </c>
      <c r="J58" s="771">
        <f>J52+J54</f>
        <v>39694923</v>
      </c>
      <c r="K58" s="771">
        <f t="shared" si="15"/>
        <v>15539847</v>
      </c>
      <c r="L58" s="771">
        <f>L52+L54</f>
        <v>0</v>
      </c>
      <c r="M58" s="771">
        <f t="shared" si="15"/>
        <v>0</v>
      </c>
      <c r="N58" s="771">
        <f>N52+N54</f>
        <v>0</v>
      </c>
      <c r="O58" s="771">
        <f t="shared" si="15"/>
        <v>0</v>
      </c>
      <c r="P58" s="771">
        <f>P52+P54</f>
        <v>0</v>
      </c>
      <c r="Q58" s="771">
        <f t="shared" si="15"/>
        <v>0</v>
      </c>
      <c r="R58" s="771">
        <f>R52+R54</f>
        <v>1019840178</v>
      </c>
      <c r="S58" s="771">
        <f t="shared" si="15"/>
        <v>1065533226</v>
      </c>
      <c r="T58" s="771">
        <f>T52+T54</f>
        <v>0</v>
      </c>
      <c r="U58" s="771">
        <f t="shared" si="15"/>
        <v>5881381</v>
      </c>
    </row>
    <row r="59" spans="2:21"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</row>
    <row r="60" spans="2:21"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</row>
    <row r="61" spans="2:21"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</row>
    <row r="62" spans="2:21"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</row>
    <row r="63" spans="2:21"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</row>
    <row r="64" spans="2:21"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4:21"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</row>
    <row r="66" spans="4:21"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</row>
    <row r="67" spans="4:21"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</row>
  </sheetData>
  <mergeCells count="19">
    <mergeCell ref="L8:M9"/>
    <mergeCell ref="N8:O9"/>
    <mergeCell ref="P8:Q9"/>
    <mergeCell ref="D7:E9"/>
    <mergeCell ref="B7:C10"/>
    <mergeCell ref="F8:G9"/>
    <mergeCell ref="H8:I9"/>
    <mergeCell ref="J8:K9"/>
    <mergeCell ref="F7:K7"/>
    <mergeCell ref="B4:U4"/>
    <mergeCell ref="B11:C11"/>
    <mergeCell ref="R7:U7"/>
    <mergeCell ref="R8:S9"/>
    <mergeCell ref="T8:U9"/>
    <mergeCell ref="B56:C56"/>
    <mergeCell ref="B50:C50"/>
    <mergeCell ref="B52:C52"/>
    <mergeCell ref="B54:C54"/>
    <mergeCell ref="L7:Q7"/>
  </mergeCells>
  <pageMargins left="0.15748031496062992" right="0.15748031496062992" top="0.35433070866141736" bottom="0.23622047244094491" header="0.31496062992125984" footer="0.31496062992125984"/>
  <pageSetup paperSize="8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0E64-BB60-4AC7-B73B-DCBCEA49FDBC}">
  <dimension ref="B1:AE62"/>
  <sheetViews>
    <sheetView zoomScale="110" zoomScaleNormal="110" workbookViewId="0">
      <selection activeCell="G32" sqref="G32"/>
    </sheetView>
  </sheetViews>
  <sheetFormatPr defaultRowHeight="12.75"/>
  <cols>
    <col min="2" max="2" width="7.5703125" style="94" customWidth="1"/>
    <col min="3" max="3" width="35.42578125" style="94" customWidth="1"/>
    <col min="4" max="4" width="10.7109375" style="94" customWidth="1"/>
    <col min="5" max="5" width="11.140625" style="94" customWidth="1"/>
    <col min="6" max="19" width="9.42578125" style="94" customWidth="1"/>
    <col min="20" max="29" width="9.42578125" customWidth="1"/>
    <col min="30" max="39" width="10.7109375" customWidth="1"/>
  </cols>
  <sheetData>
    <row r="1" spans="2:31">
      <c r="B1" s="136" t="s">
        <v>432</v>
      </c>
      <c r="C1" s="94" t="str">
        <f>'bev-int'!B1</f>
        <v>melléklet a …/2024. (.  .) önkormányzati rendelethez</v>
      </c>
    </row>
    <row r="2" spans="2:3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31" ht="12.75" customHeight="1">
      <c r="B3" s="1148" t="s">
        <v>703</v>
      </c>
      <c r="C3" s="1148"/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8"/>
      <c r="S3" s="1148"/>
      <c r="T3" s="1148"/>
      <c r="U3" s="1148"/>
      <c r="V3" s="1148"/>
      <c r="W3" s="1148"/>
      <c r="X3" s="1148"/>
      <c r="Y3" s="1148"/>
      <c r="Z3" s="1148"/>
      <c r="AA3" s="1148"/>
      <c r="AB3" s="1148"/>
      <c r="AC3" s="1148"/>
    </row>
    <row r="4" spans="2:31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2:31" ht="13.5" thickBot="1">
      <c r="B5" s="96"/>
      <c r="C5" s="96"/>
      <c r="D5" s="96"/>
      <c r="E5" s="96"/>
      <c r="F5" s="96"/>
      <c r="G5" s="476"/>
      <c r="H5" s="96"/>
      <c r="I5" s="476"/>
      <c r="J5" s="96"/>
      <c r="K5" s="96"/>
      <c r="L5" s="96"/>
      <c r="M5" s="96"/>
      <c r="N5" s="96"/>
      <c r="O5" s="96"/>
      <c r="P5" s="96"/>
      <c r="Q5" s="96"/>
      <c r="R5" s="96"/>
      <c r="S5" s="96"/>
      <c r="AB5" s="129" t="s">
        <v>310</v>
      </c>
      <c r="AC5" s="129"/>
    </row>
    <row r="6" spans="2:31" s="74" customFormat="1" ht="16.5" customHeight="1">
      <c r="B6" s="1149" t="s">
        <v>55</v>
      </c>
      <c r="C6" s="1185"/>
      <c r="D6" s="1149" t="s">
        <v>236</v>
      </c>
      <c r="E6" s="1150"/>
      <c r="F6" s="1157" t="s">
        <v>237</v>
      </c>
      <c r="G6" s="1158"/>
      <c r="H6" s="1158"/>
      <c r="I6" s="1158"/>
      <c r="J6" s="1158"/>
      <c r="K6" s="1158"/>
      <c r="L6" s="1158"/>
      <c r="M6" s="1158"/>
      <c r="N6" s="1158"/>
      <c r="O6" s="1158"/>
      <c r="P6" s="1158"/>
      <c r="Q6" s="1160"/>
      <c r="R6" s="1157" t="s">
        <v>129</v>
      </c>
      <c r="S6" s="1158"/>
      <c r="T6" s="1158"/>
      <c r="U6" s="1158"/>
      <c r="V6" s="1158"/>
      <c r="W6" s="1158"/>
      <c r="X6" s="1158"/>
      <c r="Y6" s="1160"/>
      <c r="Z6" s="1157" t="s">
        <v>77</v>
      </c>
      <c r="AA6" s="1158"/>
      <c r="AB6" s="1158"/>
      <c r="AC6" s="1159"/>
    </row>
    <row r="7" spans="2:31" s="74" customFormat="1" ht="21.95" customHeight="1">
      <c r="B7" s="1151"/>
      <c r="C7" s="1186"/>
      <c r="D7" s="1151"/>
      <c r="E7" s="1152"/>
      <c r="F7" s="1140" t="s">
        <v>63</v>
      </c>
      <c r="G7" s="1141"/>
      <c r="H7" s="1140" t="s">
        <v>238</v>
      </c>
      <c r="I7" s="1141"/>
      <c r="J7" s="1140" t="s">
        <v>239</v>
      </c>
      <c r="K7" s="1141"/>
      <c r="L7" s="1140" t="s">
        <v>137</v>
      </c>
      <c r="M7" s="1141"/>
      <c r="N7" s="1140" t="s">
        <v>240</v>
      </c>
      <c r="O7" s="1141"/>
      <c r="P7" s="1140" t="s">
        <v>242</v>
      </c>
      <c r="Q7" s="1141"/>
      <c r="R7" s="1197" t="s">
        <v>243</v>
      </c>
      <c r="S7" s="1194"/>
      <c r="T7" s="1197" t="s">
        <v>244</v>
      </c>
      <c r="U7" s="1194"/>
      <c r="V7" s="1140" t="s">
        <v>35</v>
      </c>
      <c r="W7" s="1141"/>
      <c r="X7" s="1144" t="s">
        <v>245</v>
      </c>
      <c r="Y7" s="1145"/>
      <c r="Z7" s="1144" t="s">
        <v>267</v>
      </c>
      <c r="AA7" s="1145"/>
      <c r="AB7" s="1140" t="s">
        <v>246</v>
      </c>
      <c r="AC7" s="1155"/>
    </row>
    <row r="8" spans="2:31" s="74" customFormat="1" ht="33.75" customHeight="1" thickBot="1">
      <c r="B8" s="1151"/>
      <c r="C8" s="1186"/>
      <c r="D8" s="1209"/>
      <c r="E8" s="1164"/>
      <c r="F8" s="1142"/>
      <c r="G8" s="1143"/>
      <c r="H8" s="1142"/>
      <c r="I8" s="1143"/>
      <c r="J8" s="1142"/>
      <c r="K8" s="1143"/>
      <c r="L8" s="1142"/>
      <c r="M8" s="1143"/>
      <c r="N8" s="1142"/>
      <c r="O8" s="1143"/>
      <c r="P8" s="1142"/>
      <c r="Q8" s="1143"/>
      <c r="R8" s="1163"/>
      <c r="S8" s="1164"/>
      <c r="T8" s="1163"/>
      <c r="U8" s="1164"/>
      <c r="V8" s="1142"/>
      <c r="W8" s="1143"/>
      <c r="X8" s="1146"/>
      <c r="Y8" s="1147"/>
      <c r="Z8" s="1146"/>
      <c r="AA8" s="1147"/>
      <c r="AB8" s="1142"/>
      <c r="AC8" s="1156"/>
    </row>
    <row r="9" spans="2:31" s="129" customFormat="1" ht="18.75" customHeight="1" thickBot="1">
      <c r="B9" s="1153"/>
      <c r="C9" s="1208"/>
      <c r="D9" s="278" t="s">
        <v>438</v>
      </c>
      <c r="E9" s="272" t="s">
        <v>439</v>
      </c>
      <c r="F9" s="275" t="s">
        <v>438</v>
      </c>
      <c r="G9" s="271" t="s">
        <v>439</v>
      </c>
      <c r="H9" s="270" t="s">
        <v>438</v>
      </c>
      <c r="I9" s="271" t="s">
        <v>439</v>
      </c>
      <c r="J9" s="270" t="s">
        <v>438</v>
      </c>
      <c r="K9" s="271" t="s">
        <v>439</v>
      </c>
      <c r="L9" s="270" t="s">
        <v>438</v>
      </c>
      <c r="M9" s="271" t="s">
        <v>439</v>
      </c>
      <c r="N9" s="270" t="s">
        <v>438</v>
      </c>
      <c r="O9" s="271" t="s">
        <v>439</v>
      </c>
      <c r="P9" s="270" t="s">
        <v>438</v>
      </c>
      <c r="Q9" s="272" t="s">
        <v>439</v>
      </c>
      <c r="R9" s="278" t="s">
        <v>438</v>
      </c>
      <c r="S9" s="271" t="s">
        <v>439</v>
      </c>
      <c r="T9" s="270" t="s">
        <v>438</v>
      </c>
      <c r="U9" s="271" t="s">
        <v>439</v>
      </c>
      <c r="V9" s="270" t="s">
        <v>438</v>
      </c>
      <c r="W9" s="271" t="s">
        <v>439</v>
      </c>
      <c r="X9" s="270" t="s">
        <v>438</v>
      </c>
      <c r="Y9" s="274" t="s">
        <v>439</v>
      </c>
      <c r="Z9" s="276" t="s">
        <v>438</v>
      </c>
      <c r="AA9" s="263" t="s">
        <v>439</v>
      </c>
      <c r="AB9" s="273" t="s">
        <v>438</v>
      </c>
      <c r="AC9" s="264" t="s">
        <v>439</v>
      </c>
    </row>
    <row r="10" spans="2:31" s="74" customFormat="1" ht="9.75" customHeight="1">
      <c r="B10" s="1132"/>
      <c r="C10" s="1133"/>
      <c r="D10" s="759"/>
      <c r="E10" s="759"/>
      <c r="F10" s="787"/>
      <c r="G10" s="787"/>
      <c r="H10" s="787"/>
      <c r="I10" s="787"/>
      <c r="J10" s="787"/>
      <c r="K10" s="787"/>
      <c r="L10" s="787"/>
      <c r="M10" s="787"/>
      <c r="N10" s="787"/>
      <c r="O10" s="787"/>
      <c r="P10" s="787"/>
      <c r="Q10" s="787"/>
      <c r="R10" s="787"/>
      <c r="S10" s="787"/>
      <c r="T10" s="787"/>
      <c r="U10" s="787"/>
      <c r="V10" s="787"/>
      <c r="W10" s="787"/>
      <c r="X10" s="787"/>
      <c r="Y10" s="787"/>
      <c r="Z10" s="787"/>
      <c r="AA10" s="787"/>
      <c r="AB10" s="761"/>
      <c r="AC10" s="762"/>
      <c r="AD10" s="163"/>
      <c r="AE10" s="163"/>
    </row>
    <row r="11" spans="2:31" s="74" customFormat="1" ht="18" customHeight="1">
      <c r="B11" s="97" t="s">
        <v>248</v>
      </c>
      <c r="C11" s="87" t="s">
        <v>290</v>
      </c>
      <c r="D11" s="747">
        <f>F11+H11+J11+L11+N11+P11+R11+T11+V11+X11+Z11+AB11</f>
        <v>190095550</v>
      </c>
      <c r="E11" s="747">
        <f>G11+I11+K11+M11+O11+Q11+S11+U11+W11+Y11+AA11+AC11</f>
        <v>190083853</v>
      </c>
      <c r="F11" s="749">
        <v>163751833</v>
      </c>
      <c r="G11" s="749">
        <v>163751833</v>
      </c>
      <c r="H11" s="749">
        <v>21590417</v>
      </c>
      <c r="I11" s="749">
        <v>21590417</v>
      </c>
      <c r="J11" s="749">
        <v>2721300</v>
      </c>
      <c r="K11" s="749">
        <v>2709603</v>
      </c>
      <c r="L11" s="749"/>
      <c r="M11" s="749"/>
      <c r="N11" s="749"/>
      <c r="O11" s="749"/>
      <c r="P11" s="749"/>
      <c r="Q11" s="749"/>
      <c r="R11" s="749"/>
      <c r="S11" s="749"/>
      <c r="T11" s="749">
        <v>2032000</v>
      </c>
      <c r="U11" s="749">
        <v>2032000</v>
      </c>
      <c r="V11" s="749"/>
      <c r="W11" s="749"/>
      <c r="X11" s="749"/>
      <c r="Y11" s="749"/>
      <c r="Z11" s="749"/>
      <c r="AA11" s="749"/>
      <c r="AB11" s="750"/>
      <c r="AC11" s="751"/>
      <c r="AD11" s="163"/>
      <c r="AE11" s="163"/>
    </row>
    <row r="12" spans="2:31" s="74" customFormat="1" ht="18" customHeight="1">
      <c r="B12" s="97" t="s">
        <v>248</v>
      </c>
      <c r="C12" s="477" t="s">
        <v>291</v>
      </c>
      <c r="D12" s="747">
        <f t="shared" ref="D12:D17" si="0">F12+H12+J12+L12+N12+P12+R12+T12+V12+X12+Z12+AB12</f>
        <v>929344</v>
      </c>
      <c r="E12" s="747">
        <f t="shared" ref="E12:E17" si="1">G12+I12+K12+M12+O12+Q12+S12+U12+W12+Y12+AA12+AC12</f>
        <v>929344</v>
      </c>
      <c r="F12" s="749">
        <v>832000</v>
      </c>
      <c r="G12" s="749">
        <v>832000</v>
      </c>
      <c r="H12" s="749">
        <v>97344</v>
      </c>
      <c r="I12" s="749">
        <v>97344</v>
      </c>
      <c r="J12" s="749"/>
      <c r="K12" s="749"/>
      <c r="L12" s="749"/>
      <c r="M12" s="749"/>
      <c r="N12" s="749"/>
      <c r="O12" s="749"/>
      <c r="P12" s="749"/>
      <c r="Q12" s="749"/>
      <c r="R12" s="749"/>
      <c r="S12" s="749"/>
      <c r="T12" s="749"/>
      <c r="U12" s="749"/>
      <c r="V12" s="749"/>
      <c r="W12" s="749"/>
      <c r="X12" s="749"/>
      <c r="Y12" s="749"/>
      <c r="Z12" s="749"/>
      <c r="AA12" s="749"/>
      <c r="AB12" s="750"/>
      <c r="AC12" s="751"/>
      <c r="AD12" s="163"/>
      <c r="AE12" s="163"/>
    </row>
    <row r="13" spans="2:31" s="74" customFormat="1" ht="18" customHeight="1">
      <c r="B13" s="97" t="s">
        <v>248</v>
      </c>
      <c r="C13" s="477" t="s">
        <v>450</v>
      </c>
      <c r="D13" s="747">
        <f t="shared" si="0"/>
        <v>26860111</v>
      </c>
      <c r="E13" s="747">
        <f t="shared" si="1"/>
        <v>27894916</v>
      </c>
      <c r="F13" s="749">
        <v>3418524</v>
      </c>
      <c r="G13" s="749">
        <v>3418524</v>
      </c>
      <c r="H13" s="749">
        <v>2622100</v>
      </c>
      <c r="I13" s="749">
        <v>2622100</v>
      </c>
      <c r="J13" s="749">
        <v>19295487</v>
      </c>
      <c r="K13" s="749">
        <v>20330292</v>
      </c>
      <c r="L13" s="749"/>
      <c r="M13" s="749"/>
      <c r="N13" s="749"/>
      <c r="O13" s="749"/>
      <c r="P13" s="749"/>
      <c r="Q13" s="749"/>
      <c r="R13" s="749"/>
      <c r="S13" s="749"/>
      <c r="T13" s="749">
        <v>1524000</v>
      </c>
      <c r="U13" s="749">
        <v>1524000</v>
      </c>
      <c r="V13" s="749"/>
      <c r="W13" s="749"/>
      <c r="X13" s="749"/>
      <c r="Y13" s="749"/>
      <c r="Z13" s="749"/>
      <c r="AA13" s="749"/>
      <c r="AB13" s="750"/>
      <c r="AC13" s="751"/>
      <c r="AD13" s="163"/>
      <c r="AE13" s="163"/>
    </row>
    <row r="14" spans="2:31" s="74" customFormat="1" ht="18" customHeight="1">
      <c r="B14" s="97" t="s">
        <v>248</v>
      </c>
      <c r="C14" s="108" t="s">
        <v>288</v>
      </c>
      <c r="D14" s="747">
        <f t="shared" si="0"/>
        <v>11657593</v>
      </c>
      <c r="E14" s="747">
        <f t="shared" si="1"/>
        <v>11657593</v>
      </c>
      <c r="F14" s="749">
        <v>8830400</v>
      </c>
      <c r="G14" s="749">
        <v>8830400</v>
      </c>
      <c r="H14" s="749">
        <v>1177973</v>
      </c>
      <c r="I14" s="749">
        <v>1177973</v>
      </c>
      <c r="J14" s="749">
        <v>1649220</v>
      </c>
      <c r="K14" s="749">
        <v>1649220</v>
      </c>
      <c r="L14" s="749"/>
      <c r="M14" s="749"/>
      <c r="N14" s="749"/>
      <c r="O14" s="749"/>
      <c r="P14" s="749"/>
      <c r="Q14" s="749"/>
      <c r="R14" s="749"/>
      <c r="S14" s="749"/>
      <c r="T14" s="749"/>
      <c r="U14" s="749"/>
      <c r="V14" s="749"/>
      <c r="W14" s="749"/>
      <c r="X14" s="749"/>
      <c r="Y14" s="749"/>
      <c r="Z14" s="749"/>
      <c r="AA14" s="749"/>
      <c r="AB14" s="750"/>
      <c r="AC14" s="751"/>
      <c r="AD14" s="163"/>
      <c r="AE14" s="163"/>
    </row>
    <row r="15" spans="2:31" s="74" customFormat="1" ht="18" customHeight="1">
      <c r="B15" s="551" t="s">
        <v>248</v>
      </c>
      <c r="C15" s="108" t="s">
        <v>554</v>
      </c>
      <c r="D15" s="747">
        <f t="shared" si="0"/>
        <v>47048376</v>
      </c>
      <c r="E15" s="747">
        <f t="shared" si="1"/>
        <v>47060073</v>
      </c>
      <c r="F15" s="749">
        <v>35369152</v>
      </c>
      <c r="G15" s="749">
        <f>35369152-8965</f>
        <v>35360187</v>
      </c>
      <c r="H15" s="749">
        <v>5064189</v>
      </c>
      <c r="I15" s="749">
        <v>5064189</v>
      </c>
      <c r="J15" s="749">
        <v>6615035</v>
      </c>
      <c r="K15" s="749">
        <v>6635697</v>
      </c>
      <c r="L15" s="749"/>
      <c r="M15" s="749"/>
      <c r="N15" s="749"/>
      <c r="O15" s="749"/>
      <c r="P15" s="749"/>
      <c r="Q15" s="749"/>
      <c r="R15" s="749"/>
      <c r="S15" s="749"/>
      <c r="T15" s="749"/>
      <c r="U15" s="749"/>
      <c r="V15" s="749"/>
      <c r="W15" s="749"/>
      <c r="X15" s="749"/>
      <c r="Y15" s="749"/>
      <c r="Z15" s="749"/>
      <c r="AA15" s="749"/>
      <c r="AB15" s="750"/>
      <c r="AC15" s="751"/>
      <c r="AD15" s="163"/>
      <c r="AE15" s="163"/>
    </row>
    <row r="16" spans="2:31" s="74" customFormat="1" ht="18" customHeight="1">
      <c r="B16" s="97" t="s">
        <v>248</v>
      </c>
      <c r="C16" s="550" t="s">
        <v>555</v>
      </c>
      <c r="D16" s="747">
        <f t="shared" si="0"/>
        <v>114300</v>
      </c>
      <c r="E16" s="747">
        <f t="shared" si="1"/>
        <v>114300</v>
      </c>
      <c r="F16" s="749"/>
      <c r="G16" s="749"/>
      <c r="H16" s="749"/>
      <c r="I16" s="749"/>
      <c r="J16" s="749">
        <v>114300</v>
      </c>
      <c r="K16" s="749">
        <v>114300</v>
      </c>
      <c r="L16" s="749"/>
      <c r="M16" s="749"/>
      <c r="N16" s="749"/>
      <c r="O16" s="749"/>
      <c r="P16" s="749"/>
      <c r="Q16" s="749"/>
      <c r="R16" s="749"/>
      <c r="S16" s="749"/>
      <c r="T16" s="749"/>
      <c r="U16" s="749"/>
      <c r="V16" s="749"/>
      <c r="W16" s="749"/>
      <c r="X16" s="749"/>
      <c r="Y16" s="749"/>
      <c r="Z16" s="749"/>
      <c r="AA16" s="749"/>
      <c r="AB16" s="750"/>
      <c r="AC16" s="751"/>
      <c r="AD16" s="163"/>
      <c r="AE16" s="163"/>
    </row>
    <row r="17" spans="2:31" s="74" customFormat="1" ht="18" customHeight="1">
      <c r="B17" s="109" t="s">
        <v>248</v>
      </c>
      <c r="C17" s="87" t="s">
        <v>252</v>
      </c>
      <c r="D17" s="747">
        <f t="shared" si="0"/>
        <v>0</v>
      </c>
      <c r="E17" s="747">
        <f t="shared" si="1"/>
        <v>0</v>
      </c>
      <c r="F17" s="749"/>
      <c r="G17" s="749"/>
      <c r="H17" s="749"/>
      <c r="I17" s="749"/>
      <c r="J17" s="749"/>
      <c r="K17" s="749"/>
      <c r="L17" s="749"/>
      <c r="M17" s="749"/>
      <c r="N17" s="749"/>
      <c r="O17" s="749"/>
      <c r="P17" s="749"/>
      <c r="Q17" s="749"/>
      <c r="R17" s="749"/>
      <c r="S17" s="749"/>
      <c r="T17" s="749"/>
      <c r="U17" s="749"/>
      <c r="V17" s="749"/>
      <c r="W17" s="749"/>
      <c r="X17" s="749"/>
      <c r="Y17" s="749"/>
      <c r="Z17" s="749"/>
      <c r="AA17" s="749"/>
      <c r="AB17" s="750"/>
      <c r="AC17" s="751"/>
      <c r="AD17" s="163"/>
      <c r="AE17" s="163"/>
    </row>
    <row r="18" spans="2:31" s="74" customFormat="1" ht="18" customHeight="1">
      <c r="B18" s="97"/>
      <c r="C18" s="99" t="s">
        <v>270</v>
      </c>
      <c r="D18" s="747">
        <f t="shared" ref="D18:L18" si="2">SUM(D11:D17)</f>
        <v>276705274</v>
      </c>
      <c r="E18" s="747">
        <f t="shared" si="2"/>
        <v>277740079</v>
      </c>
      <c r="F18" s="747">
        <f t="shared" si="2"/>
        <v>212201909</v>
      </c>
      <c r="G18" s="747">
        <f t="shared" si="2"/>
        <v>212192944</v>
      </c>
      <c r="H18" s="747">
        <f t="shared" si="2"/>
        <v>30552023</v>
      </c>
      <c r="I18" s="747">
        <f t="shared" si="2"/>
        <v>30552023</v>
      </c>
      <c r="J18" s="747">
        <f t="shared" si="2"/>
        <v>30395342</v>
      </c>
      <c r="K18" s="747">
        <f t="shared" si="2"/>
        <v>31439112</v>
      </c>
      <c r="L18" s="747">
        <f t="shared" si="2"/>
        <v>0</v>
      </c>
      <c r="M18" s="747">
        <f t="shared" ref="M18:AC18" si="3">SUM(M11:M17)</f>
        <v>0</v>
      </c>
      <c r="N18" s="747">
        <f>SUM(N11:N17)</f>
        <v>0</v>
      </c>
      <c r="O18" s="747">
        <f t="shared" si="3"/>
        <v>0</v>
      </c>
      <c r="P18" s="747">
        <f>SUM(P11:P17)</f>
        <v>0</v>
      </c>
      <c r="Q18" s="747">
        <f t="shared" si="3"/>
        <v>0</v>
      </c>
      <c r="R18" s="747">
        <f>SUM(R11:R17)</f>
        <v>0</v>
      </c>
      <c r="S18" s="747">
        <f t="shared" si="3"/>
        <v>0</v>
      </c>
      <c r="T18" s="747">
        <f>SUM(T11:T17)</f>
        <v>3556000</v>
      </c>
      <c r="U18" s="747">
        <f t="shared" si="3"/>
        <v>3556000</v>
      </c>
      <c r="V18" s="747">
        <f>SUM(V11:V17)</f>
        <v>0</v>
      </c>
      <c r="W18" s="747">
        <f t="shared" si="3"/>
        <v>0</v>
      </c>
      <c r="X18" s="747">
        <f>SUM(X11:X17)</f>
        <v>0</v>
      </c>
      <c r="Y18" s="747">
        <f t="shared" si="3"/>
        <v>0</v>
      </c>
      <c r="Z18" s="747">
        <f>SUM(Z11:Z17)</f>
        <v>0</v>
      </c>
      <c r="AA18" s="747">
        <f t="shared" si="3"/>
        <v>0</v>
      </c>
      <c r="AB18" s="790">
        <f>SUM(AB11:AB17)</f>
        <v>0</v>
      </c>
      <c r="AC18" s="791">
        <f t="shared" si="3"/>
        <v>0</v>
      </c>
      <c r="AD18" s="163"/>
      <c r="AE18" s="163"/>
    </row>
    <row r="19" spans="2:31" s="74" customFormat="1" ht="7.5" customHeight="1">
      <c r="B19" s="97"/>
      <c r="C19" s="87"/>
      <c r="D19" s="747"/>
      <c r="E19" s="747"/>
      <c r="F19" s="749"/>
      <c r="G19" s="749"/>
      <c r="H19" s="749"/>
      <c r="I19" s="749"/>
      <c r="J19" s="749"/>
      <c r="K19" s="749"/>
      <c r="L19" s="749"/>
      <c r="M19" s="749"/>
      <c r="N19" s="749"/>
      <c r="O19" s="749"/>
      <c r="P19" s="749"/>
      <c r="Q19" s="749"/>
      <c r="R19" s="749"/>
      <c r="S19" s="749"/>
      <c r="T19" s="749"/>
      <c r="U19" s="749"/>
      <c r="V19" s="749"/>
      <c r="W19" s="749"/>
      <c r="X19" s="749"/>
      <c r="Y19" s="749"/>
      <c r="Z19" s="749"/>
      <c r="AA19" s="749"/>
      <c r="AB19" s="750"/>
      <c r="AC19" s="751"/>
      <c r="AD19" s="163"/>
      <c r="AE19" s="163"/>
    </row>
    <row r="20" spans="2:31" s="74" customFormat="1" ht="18" customHeight="1">
      <c r="B20" s="109" t="s">
        <v>248</v>
      </c>
      <c r="C20" s="87" t="s">
        <v>252</v>
      </c>
      <c r="D20" s="747">
        <f t="shared" ref="D20:E25" si="4">F20+H20+J20+L20+N20+P20+R20+T20+V20+X20+Z20+AB20</f>
        <v>0</v>
      </c>
      <c r="E20" s="747">
        <f t="shared" si="4"/>
        <v>0</v>
      </c>
      <c r="F20" s="749"/>
      <c r="G20" s="749"/>
      <c r="H20" s="749"/>
      <c r="I20" s="749"/>
      <c r="J20" s="749"/>
      <c r="K20" s="749"/>
      <c r="L20" s="749"/>
      <c r="M20" s="749"/>
      <c r="N20" s="749"/>
      <c r="O20" s="789"/>
      <c r="P20" s="749"/>
      <c r="Q20" s="749"/>
      <c r="R20" s="749"/>
      <c r="S20" s="749"/>
      <c r="T20" s="749"/>
      <c r="U20" s="749"/>
      <c r="V20" s="749"/>
      <c r="W20" s="749"/>
      <c r="X20" s="749"/>
      <c r="Y20" s="749"/>
      <c r="Z20" s="749"/>
      <c r="AA20" s="749"/>
      <c r="AB20" s="750"/>
      <c r="AC20" s="751"/>
      <c r="AD20" s="163"/>
      <c r="AE20" s="163"/>
    </row>
    <row r="21" spans="2:31" s="74" customFormat="1" ht="18" customHeight="1">
      <c r="B21" s="97" t="s">
        <v>248</v>
      </c>
      <c r="C21" s="87" t="s">
        <v>518</v>
      </c>
      <c r="D21" s="747">
        <f t="shared" si="4"/>
        <v>13030502</v>
      </c>
      <c r="E21" s="747">
        <f t="shared" si="4"/>
        <v>13042250</v>
      </c>
      <c r="F21" s="749">
        <v>9216161</v>
      </c>
      <c r="G21" s="749">
        <v>9216161</v>
      </c>
      <c r="H21" s="749">
        <v>1566941</v>
      </c>
      <c r="I21" s="749">
        <v>1566941</v>
      </c>
      <c r="J21" s="749">
        <v>2087400</v>
      </c>
      <c r="K21" s="749">
        <f>2087400+11748</f>
        <v>2099148</v>
      </c>
      <c r="L21" s="789"/>
      <c r="M21" s="789"/>
      <c r="N21" s="789"/>
      <c r="O21" s="789"/>
      <c r="P21" s="789"/>
      <c r="Q21" s="789"/>
      <c r="R21" s="789"/>
      <c r="S21" s="789"/>
      <c r="T21" s="789">
        <v>160000</v>
      </c>
      <c r="U21" s="789">
        <v>160000</v>
      </c>
      <c r="V21" s="789"/>
      <c r="W21" s="789"/>
      <c r="X21" s="789"/>
      <c r="Y21" s="789"/>
      <c r="Z21" s="789"/>
      <c r="AA21" s="789"/>
      <c r="AB21" s="750"/>
      <c r="AC21" s="751"/>
      <c r="AD21" s="163"/>
      <c r="AE21" s="163"/>
    </row>
    <row r="22" spans="2:31" s="74" customFormat="1" ht="18" customHeight="1">
      <c r="B22" s="97" t="s">
        <v>248</v>
      </c>
      <c r="C22" s="87" t="s">
        <v>273</v>
      </c>
      <c r="D22" s="747">
        <f t="shared" si="4"/>
        <v>79022950</v>
      </c>
      <c r="E22" s="747">
        <f t="shared" si="4"/>
        <v>81009433</v>
      </c>
      <c r="F22" s="749">
        <v>21584950</v>
      </c>
      <c r="G22" s="749">
        <f>21584950+12136</f>
        <v>21597086</v>
      </c>
      <c r="H22" s="749">
        <v>3699061</v>
      </c>
      <c r="I22" s="749">
        <v>3699061</v>
      </c>
      <c r="J22" s="749">
        <v>53611939</v>
      </c>
      <c r="K22" s="749">
        <f>53611939+1974347</f>
        <v>55586286</v>
      </c>
      <c r="L22" s="789"/>
      <c r="M22" s="789"/>
      <c r="N22" s="789"/>
      <c r="O22" s="789"/>
      <c r="P22" s="789"/>
      <c r="Q22" s="789"/>
      <c r="R22" s="789"/>
      <c r="S22" s="789"/>
      <c r="T22" s="789">
        <v>127000</v>
      </c>
      <c r="U22" s="789">
        <v>127000</v>
      </c>
      <c r="V22" s="789"/>
      <c r="W22" s="789"/>
      <c r="X22" s="789"/>
      <c r="Y22" s="789"/>
      <c r="Z22" s="789"/>
      <c r="AA22" s="789"/>
      <c r="AB22" s="750"/>
      <c r="AC22" s="751"/>
      <c r="AD22" s="163"/>
      <c r="AE22" s="163"/>
    </row>
    <row r="23" spans="2:31" s="74" customFormat="1" ht="18" hidden="1" customHeight="1">
      <c r="B23" s="494" t="s">
        <v>618</v>
      </c>
      <c r="C23" s="87"/>
      <c r="D23" s="747">
        <f t="shared" si="4"/>
        <v>0</v>
      </c>
      <c r="E23" s="747">
        <f t="shared" si="4"/>
        <v>0</v>
      </c>
      <c r="F23" s="749"/>
      <c r="G23" s="749"/>
      <c r="H23" s="749"/>
      <c r="I23" s="749"/>
      <c r="J23" s="749"/>
      <c r="K23" s="749"/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50"/>
      <c r="AC23" s="751"/>
      <c r="AD23" s="163"/>
      <c r="AE23" s="163"/>
    </row>
    <row r="24" spans="2:31" s="74" customFormat="1" ht="18" customHeight="1">
      <c r="B24" s="493" t="s">
        <v>248</v>
      </c>
      <c r="C24" s="87" t="s">
        <v>506</v>
      </c>
      <c r="D24" s="747">
        <f t="shared" si="4"/>
        <v>6558127</v>
      </c>
      <c r="E24" s="747">
        <f t="shared" si="4"/>
        <v>6558127</v>
      </c>
      <c r="F24" s="749">
        <v>5477834</v>
      </c>
      <c r="G24" s="749">
        <v>5477834</v>
      </c>
      <c r="H24" s="749">
        <v>971773</v>
      </c>
      <c r="I24" s="749">
        <v>971773</v>
      </c>
      <c r="J24" s="749">
        <v>108520</v>
      </c>
      <c r="K24" s="749">
        <v>108520</v>
      </c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50"/>
      <c r="AC24" s="751"/>
      <c r="AD24" s="163"/>
      <c r="AE24" s="163"/>
    </row>
    <row r="25" spans="2:31" s="74" customFormat="1" ht="18" customHeight="1">
      <c r="B25" s="109" t="s">
        <v>248</v>
      </c>
      <c r="C25" s="87" t="s">
        <v>495</v>
      </c>
      <c r="D25" s="747">
        <f t="shared" si="4"/>
        <v>421800</v>
      </c>
      <c r="E25" s="747">
        <f t="shared" si="4"/>
        <v>421800</v>
      </c>
      <c r="F25" s="789"/>
      <c r="G25" s="789"/>
      <c r="H25" s="789"/>
      <c r="I25" s="789"/>
      <c r="J25" s="789">
        <v>421800</v>
      </c>
      <c r="K25" s="789">
        <v>421800</v>
      </c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50"/>
      <c r="AC25" s="751"/>
      <c r="AD25" s="163"/>
      <c r="AE25" s="163"/>
    </row>
    <row r="26" spans="2:31" s="100" customFormat="1" ht="18" customHeight="1">
      <c r="B26" s="111"/>
      <c r="C26" s="99" t="s">
        <v>294</v>
      </c>
      <c r="D26" s="747">
        <f t="shared" ref="D26:L26" si="5">SUM(D20:D25)</f>
        <v>99033379</v>
      </c>
      <c r="E26" s="747">
        <f t="shared" si="5"/>
        <v>101031610</v>
      </c>
      <c r="F26" s="747">
        <f t="shared" si="5"/>
        <v>36278945</v>
      </c>
      <c r="G26" s="747">
        <f t="shared" si="5"/>
        <v>36291081</v>
      </c>
      <c r="H26" s="747">
        <f t="shared" si="5"/>
        <v>6237775</v>
      </c>
      <c r="I26" s="747">
        <f t="shared" si="5"/>
        <v>6237775</v>
      </c>
      <c r="J26" s="747">
        <f t="shared" si="5"/>
        <v>56229659</v>
      </c>
      <c r="K26" s="747">
        <f t="shared" si="5"/>
        <v>58215754</v>
      </c>
      <c r="L26" s="747">
        <f t="shared" si="5"/>
        <v>0</v>
      </c>
      <c r="M26" s="747">
        <f t="shared" ref="M26:AC26" si="6">SUM(M20:M25)</f>
        <v>0</v>
      </c>
      <c r="N26" s="747">
        <f>SUM(N20:N25)</f>
        <v>0</v>
      </c>
      <c r="O26" s="747">
        <f t="shared" si="6"/>
        <v>0</v>
      </c>
      <c r="P26" s="747">
        <f>SUM(P20:P25)</f>
        <v>0</v>
      </c>
      <c r="Q26" s="747">
        <f t="shared" si="6"/>
        <v>0</v>
      </c>
      <c r="R26" s="747">
        <f>SUM(R20:R25)</f>
        <v>0</v>
      </c>
      <c r="S26" s="747">
        <f t="shared" si="6"/>
        <v>0</v>
      </c>
      <c r="T26" s="747">
        <f>SUM(T20:T25)</f>
        <v>287000</v>
      </c>
      <c r="U26" s="747">
        <f t="shared" si="6"/>
        <v>287000</v>
      </c>
      <c r="V26" s="747">
        <f>SUM(V20:V25)</f>
        <v>0</v>
      </c>
      <c r="W26" s="747">
        <f t="shared" si="6"/>
        <v>0</v>
      </c>
      <c r="X26" s="747">
        <f>SUM(X20:X25)</f>
        <v>0</v>
      </c>
      <c r="Y26" s="747">
        <f t="shared" si="6"/>
        <v>0</v>
      </c>
      <c r="Z26" s="747">
        <f>SUM(Z20:Z25)</f>
        <v>0</v>
      </c>
      <c r="AA26" s="747">
        <f t="shared" si="6"/>
        <v>0</v>
      </c>
      <c r="AB26" s="790">
        <f>SUM(AB20:AB25)</f>
        <v>0</v>
      </c>
      <c r="AC26" s="791">
        <f t="shared" si="6"/>
        <v>0</v>
      </c>
      <c r="AD26" s="166"/>
      <c r="AE26" s="166"/>
    </row>
    <row r="27" spans="2:31" s="74" customFormat="1" ht="8.25" customHeight="1">
      <c r="B27" s="97"/>
      <c r="C27" s="87"/>
      <c r="D27" s="747"/>
      <c r="E27" s="747"/>
      <c r="F27" s="749"/>
      <c r="G27" s="749"/>
      <c r="H27" s="749"/>
      <c r="I27" s="749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49"/>
      <c r="W27" s="749"/>
      <c r="X27" s="749"/>
      <c r="Y27" s="749"/>
      <c r="Z27" s="749"/>
      <c r="AA27" s="749"/>
      <c r="AB27" s="750"/>
      <c r="AC27" s="751"/>
      <c r="AD27" s="163"/>
      <c r="AE27" s="163"/>
    </row>
    <row r="28" spans="2:31" s="74" customFormat="1" ht="17.25" customHeight="1">
      <c r="B28" s="97" t="s">
        <v>275</v>
      </c>
      <c r="C28" s="87" t="s">
        <v>489</v>
      </c>
      <c r="D28" s="747">
        <f t="shared" ref="D28:E35" si="7">F28+H28+J28+L28+N28+P28+R28+T28+V28+X28+Z28+AB28</f>
        <v>162604700</v>
      </c>
      <c r="E28" s="747">
        <f t="shared" si="7"/>
        <v>186274238</v>
      </c>
      <c r="F28" s="749">
        <v>73611694</v>
      </c>
      <c r="G28" s="749">
        <v>73511694</v>
      </c>
      <c r="H28" s="749">
        <v>15411278</v>
      </c>
      <c r="I28" s="749">
        <v>15411278</v>
      </c>
      <c r="J28" s="749">
        <v>71081728</v>
      </c>
      <c r="K28" s="749">
        <f>71081728+23769538</f>
        <v>94851266</v>
      </c>
      <c r="L28" s="749"/>
      <c r="M28" s="749"/>
      <c r="N28" s="749"/>
      <c r="O28" s="749"/>
      <c r="P28" s="749"/>
      <c r="Q28" s="749"/>
      <c r="R28" s="749"/>
      <c r="S28" s="749"/>
      <c r="T28" s="749">
        <v>2500000</v>
      </c>
      <c r="U28" s="749">
        <v>2500000</v>
      </c>
      <c r="V28" s="749"/>
      <c r="W28" s="749"/>
      <c r="X28" s="749"/>
      <c r="Y28" s="749"/>
      <c r="Z28" s="749"/>
      <c r="AA28" s="749"/>
      <c r="AB28" s="750"/>
      <c r="AC28" s="751"/>
      <c r="AD28" s="163"/>
      <c r="AE28" s="163"/>
    </row>
    <row r="29" spans="2:31" s="74" customFormat="1" ht="18" customHeight="1">
      <c r="B29" s="97" t="s">
        <v>275</v>
      </c>
      <c r="C29" s="87" t="s">
        <v>490</v>
      </c>
      <c r="D29" s="747">
        <f t="shared" si="7"/>
        <v>200626754</v>
      </c>
      <c r="E29" s="747">
        <f t="shared" si="7"/>
        <v>201266018</v>
      </c>
      <c r="F29" s="749">
        <v>160216664</v>
      </c>
      <c r="G29" s="749">
        <v>160358610</v>
      </c>
      <c r="H29" s="749">
        <v>21156779</v>
      </c>
      <c r="I29" s="749">
        <v>21156779</v>
      </c>
      <c r="J29" s="749">
        <v>5395811</v>
      </c>
      <c r="K29" s="749">
        <f>5395811+497318</f>
        <v>5893129</v>
      </c>
      <c r="L29" s="749">
        <v>270000</v>
      </c>
      <c r="M29" s="749">
        <v>270000</v>
      </c>
      <c r="N29" s="749"/>
      <c r="O29" s="749"/>
      <c r="P29" s="749"/>
      <c r="Q29" s="749"/>
      <c r="R29" s="749"/>
      <c r="S29" s="749"/>
      <c r="T29" s="749">
        <v>13587500</v>
      </c>
      <c r="U29" s="749">
        <v>13587500</v>
      </c>
      <c r="V29" s="749"/>
      <c r="W29" s="749"/>
      <c r="X29" s="749"/>
      <c r="Y29" s="749"/>
      <c r="Z29" s="749"/>
      <c r="AA29" s="749"/>
      <c r="AB29" s="750"/>
      <c r="AC29" s="751"/>
      <c r="AD29" s="163"/>
      <c r="AE29" s="163"/>
    </row>
    <row r="30" spans="2:31" s="74" customFormat="1" ht="18" customHeight="1">
      <c r="B30" s="97" t="s">
        <v>275</v>
      </c>
      <c r="C30" s="87" t="s">
        <v>328</v>
      </c>
      <c r="D30" s="747">
        <f t="shared" si="7"/>
        <v>57576710</v>
      </c>
      <c r="E30" s="747">
        <f t="shared" si="7"/>
        <v>57437446</v>
      </c>
      <c r="F30" s="749">
        <v>50627000</v>
      </c>
      <c r="G30" s="749">
        <v>50487736</v>
      </c>
      <c r="H30" s="749">
        <v>6704600</v>
      </c>
      <c r="I30" s="749">
        <v>6704600</v>
      </c>
      <c r="J30" s="749">
        <v>245110</v>
      </c>
      <c r="K30" s="749">
        <v>245110</v>
      </c>
      <c r="L30" s="749"/>
      <c r="M30" s="749"/>
      <c r="N30" s="749"/>
      <c r="O30" s="749"/>
      <c r="P30" s="749"/>
      <c r="Q30" s="749"/>
      <c r="R30" s="749"/>
      <c r="S30" s="749"/>
      <c r="T30" s="749"/>
      <c r="U30" s="749"/>
      <c r="V30" s="749"/>
      <c r="W30" s="749"/>
      <c r="X30" s="749"/>
      <c r="Y30" s="749"/>
      <c r="Z30" s="749"/>
      <c r="AA30" s="749"/>
      <c r="AB30" s="750"/>
      <c r="AC30" s="751"/>
      <c r="AD30" s="163"/>
      <c r="AE30" s="163"/>
    </row>
    <row r="31" spans="2:31" s="74" customFormat="1" ht="26.25" customHeight="1">
      <c r="B31" s="97" t="s">
        <v>275</v>
      </c>
      <c r="C31" s="1014" t="s">
        <v>784</v>
      </c>
      <c r="D31" s="747">
        <f t="shared" si="7"/>
        <v>134480781</v>
      </c>
      <c r="E31" s="747">
        <f t="shared" si="7"/>
        <v>134581963</v>
      </c>
      <c r="F31" s="749">
        <v>35452095</v>
      </c>
      <c r="G31" s="749">
        <f>35452095+101182</f>
        <v>35553277</v>
      </c>
      <c r="H31" s="749">
        <v>4720981</v>
      </c>
      <c r="I31" s="749">
        <v>4720981</v>
      </c>
      <c r="J31" s="749">
        <v>91538055</v>
      </c>
      <c r="K31" s="749">
        <v>91538055</v>
      </c>
      <c r="L31" s="749"/>
      <c r="M31" s="749"/>
      <c r="N31" s="749"/>
      <c r="O31" s="749"/>
      <c r="P31" s="749"/>
      <c r="Q31" s="749"/>
      <c r="R31" s="749"/>
      <c r="S31" s="749">
        <v>51753</v>
      </c>
      <c r="T31" s="749">
        <v>2769650</v>
      </c>
      <c r="U31" s="749">
        <f>2769650-51753</f>
        <v>2717897</v>
      </c>
      <c r="V31" s="749"/>
      <c r="W31" s="749"/>
      <c r="X31" s="749"/>
      <c r="Y31" s="749"/>
      <c r="Z31" s="749"/>
      <c r="AA31" s="749"/>
      <c r="AB31" s="750"/>
      <c r="AC31" s="751"/>
      <c r="AD31" s="163"/>
      <c r="AE31" s="163"/>
    </row>
    <row r="32" spans="2:31" s="74" customFormat="1" ht="23.25" customHeight="1">
      <c r="B32" s="97" t="s">
        <v>275</v>
      </c>
      <c r="C32" s="1014" t="s">
        <v>786</v>
      </c>
      <c r="D32" s="747">
        <f t="shared" si="7"/>
        <v>9698467</v>
      </c>
      <c r="E32" s="747">
        <f t="shared" si="7"/>
        <v>9698467</v>
      </c>
      <c r="F32" s="749">
        <v>2741887</v>
      </c>
      <c r="G32" s="749">
        <v>2741887</v>
      </c>
      <c r="H32" s="749">
        <v>365124</v>
      </c>
      <c r="I32" s="749">
        <v>365124</v>
      </c>
      <c r="J32" s="749">
        <v>6377250</v>
      </c>
      <c r="K32" s="749">
        <v>6377250</v>
      </c>
      <c r="L32" s="749"/>
      <c r="M32" s="749"/>
      <c r="N32" s="749"/>
      <c r="O32" s="749"/>
      <c r="P32" s="749"/>
      <c r="Q32" s="749"/>
      <c r="R32" s="749"/>
      <c r="S32" s="749"/>
      <c r="T32" s="749">
        <v>214206</v>
      </c>
      <c r="U32" s="749">
        <v>214206</v>
      </c>
      <c r="V32" s="749"/>
      <c r="W32" s="749"/>
      <c r="X32" s="749"/>
      <c r="Y32" s="749"/>
      <c r="Z32" s="749"/>
      <c r="AA32" s="749"/>
      <c r="AB32" s="750"/>
      <c r="AC32" s="751"/>
      <c r="AD32" s="163"/>
      <c r="AE32" s="163"/>
    </row>
    <row r="33" spans="2:31" s="74" customFormat="1" ht="23.25" customHeight="1">
      <c r="B33" s="97" t="s">
        <v>275</v>
      </c>
      <c r="C33" s="1014" t="s">
        <v>785</v>
      </c>
      <c r="D33" s="747">
        <f t="shared" si="7"/>
        <v>284897</v>
      </c>
      <c r="E33" s="747">
        <f t="shared" si="7"/>
        <v>284897</v>
      </c>
      <c r="F33" s="749">
        <v>206642</v>
      </c>
      <c r="G33" s="749">
        <v>206642</v>
      </c>
      <c r="H33" s="749">
        <v>27517</v>
      </c>
      <c r="I33" s="749">
        <v>27517</v>
      </c>
      <c r="J33" s="749">
        <v>34594</v>
      </c>
      <c r="K33" s="749">
        <v>34594</v>
      </c>
      <c r="L33" s="749"/>
      <c r="M33" s="749"/>
      <c r="N33" s="749"/>
      <c r="O33" s="749"/>
      <c r="P33" s="749"/>
      <c r="Q33" s="749"/>
      <c r="R33" s="749"/>
      <c r="S33" s="749"/>
      <c r="T33" s="749">
        <v>16144</v>
      </c>
      <c r="U33" s="749">
        <v>16144</v>
      </c>
      <c r="V33" s="749"/>
      <c r="W33" s="749"/>
      <c r="X33" s="749"/>
      <c r="Y33" s="749"/>
      <c r="Z33" s="749"/>
      <c r="AA33" s="749"/>
      <c r="AB33" s="750"/>
      <c r="AC33" s="751"/>
      <c r="AD33" s="163"/>
      <c r="AE33" s="163"/>
    </row>
    <row r="34" spans="2:31" s="74" customFormat="1" ht="18" customHeight="1">
      <c r="B34" s="493" t="s">
        <v>248</v>
      </c>
      <c r="C34" s="87" t="s">
        <v>560</v>
      </c>
      <c r="D34" s="747">
        <f>F34+H34+J34+L34+N34+P34+R34+T34+V34+X34+Z34+AB34</f>
        <v>12646960</v>
      </c>
      <c r="E34" s="747">
        <f>G34+I34+K34+M34+O34+Q34+S34+U34+W34+Y34+AA34+AC34</f>
        <v>12645778</v>
      </c>
      <c r="F34" s="749">
        <v>7199200</v>
      </c>
      <c r="G34" s="749">
        <v>7198018</v>
      </c>
      <c r="H34" s="749">
        <v>965896</v>
      </c>
      <c r="I34" s="749">
        <v>965896</v>
      </c>
      <c r="J34" s="749">
        <v>4481864</v>
      </c>
      <c r="K34" s="749">
        <v>4481864</v>
      </c>
      <c r="L34" s="749"/>
      <c r="M34" s="749"/>
      <c r="N34" s="749"/>
      <c r="O34" s="749"/>
      <c r="P34" s="749"/>
      <c r="Q34" s="749"/>
      <c r="R34" s="749"/>
      <c r="S34" s="749"/>
      <c r="T34" s="749"/>
      <c r="U34" s="749"/>
      <c r="V34" s="749"/>
      <c r="W34" s="749"/>
      <c r="X34" s="749"/>
      <c r="Y34" s="749"/>
      <c r="Z34" s="749"/>
      <c r="AA34" s="749"/>
      <c r="AB34" s="750"/>
      <c r="AC34" s="751"/>
      <c r="AD34" s="163"/>
      <c r="AE34" s="163"/>
    </row>
    <row r="35" spans="2:31" s="74" customFormat="1" ht="18" customHeight="1">
      <c r="B35" s="97" t="s">
        <v>275</v>
      </c>
      <c r="C35" s="87" t="s">
        <v>274</v>
      </c>
      <c r="D35" s="747">
        <f t="shared" si="7"/>
        <v>52146912</v>
      </c>
      <c r="E35" s="747">
        <f t="shared" si="7"/>
        <v>52146912</v>
      </c>
      <c r="F35" s="749">
        <v>39466192</v>
      </c>
      <c r="G35" s="749">
        <v>39466192</v>
      </c>
      <c r="H35" s="749">
        <v>5086454</v>
      </c>
      <c r="I35" s="749">
        <v>5086454</v>
      </c>
      <c r="J35" s="749">
        <v>7594266</v>
      </c>
      <c r="K35" s="749">
        <v>7594266</v>
      </c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50"/>
      <c r="AC35" s="751"/>
      <c r="AD35" s="163"/>
      <c r="AE35" s="163"/>
    </row>
    <row r="36" spans="2:31" s="74" customFormat="1" ht="18" customHeight="1">
      <c r="B36" s="109" t="s">
        <v>275</v>
      </c>
      <c r="C36" s="87" t="s">
        <v>252</v>
      </c>
      <c r="D36" s="747">
        <f>F36+H36+J36+L36+N36+P36+R36+T36+V36+X36+Z36+AB36</f>
        <v>0</v>
      </c>
      <c r="E36" s="747">
        <f>G36+I36+K36+M36+O36+Q36+S36+U36+W36+Y36+AA36+AC36</f>
        <v>0</v>
      </c>
      <c r="F36" s="749"/>
      <c r="G36" s="749"/>
      <c r="H36" s="749"/>
      <c r="I36" s="749"/>
      <c r="J36" s="749"/>
      <c r="K36" s="749"/>
      <c r="L36" s="749"/>
      <c r="M36" s="749"/>
      <c r="N36" s="749"/>
      <c r="O36" s="749"/>
      <c r="P36" s="749"/>
      <c r="Q36" s="749"/>
      <c r="R36" s="749"/>
      <c r="S36" s="749"/>
      <c r="T36" s="749"/>
      <c r="U36" s="749"/>
      <c r="V36" s="749"/>
      <c r="W36" s="749"/>
      <c r="X36" s="749"/>
      <c r="Y36" s="749"/>
      <c r="Z36" s="749"/>
      <c r="AA36" s="749"/>
      <c r="AB36" s="750"/>
      <c r="AC36" s="751"/>
      <c r="AD36" s="163"/>
      <c r="AE36" s="163"/>
    </row>
    <row r="37" spans="2:31" s="74" customFormat="1" ht="18" customHeight="1">
      <c r="B37" s="97"/>
      <c r="C37" s="99" t="s">
        <v>293</v>
      </c>
      <c r="D37" s="747">
        <f t="shared" ref="D37:AC37" si="8">SUM(D28:D36)</f>
        <v>630066181</v>
      </c>
      <c r="E37" s="747">
        <f t="shared" si="8"/>
        <v>654335719</v>
      </c>
      <c r="F37" s="747">
        <f t="shared" si="8"/>
        <v>369521374</v>
      </c>
      <c r="G37" s="747">
        <f t="shared" si="8"/>
        <v>369524056</v>
      </c>
      <c r="H37" s="747">
        <f t="shared" si="8"/>
        <v>54438629</v>
      </c>
      <c r="I37" s="747">
        <f t="shared" si="8"/>
        <v>54438629</v>
      </c>
      <c r="J37" s="747">
        <f t="shared" si="8"/>
        <v>186748678</v>
      </c>
      <c r="K37" s="747">
        <f t="shared" si="8"/>
        <v>211015534</v>
      </c>
      <c r="L37" s="747">
        <f t="shared" si="8"/>
        <v>270000</v>
      </c>
      <c r="M37" s="747">
        <f t="shared" si="8"/>
        <v>270000</v>
      </c>
      <c r="N37" s="747">
        <f t="shared" si="8"/>
        <v>0</v>
      </c>
      <c r="O37" s="747">
        <f t="shared" si="8"/>
        <v>0</v>
      </c>
      <c r="P37" s="747">
        <f t="shared" si="8"/>
        <v>0</v>
      </c>
      <c r="Q37" s="747">
        <f t="shared" si="8"/>
        <v>0</v>
      </c>
      <c r="R37" s="747">
        <f t="shared" si="8"/>
        <v>0</v>
      </c>
      <c r="S37" s="747">
        <f t="shared" si="8"/>
        <v>51753</v>
      </c>
      <c r="T37" s="747">
        <f t="shared" si="8"/>
        <v>19087500</v>
      </c>
      <c r="U37" s="747">
        <f t="shared" si="8"/>
        <v>19035747</v>
      </c>
      <c r="V37" s="747">
        <f t="shared" si="8"/>
        <v>0</v>
      </c>
      <c r="W37" s="747">
        <f t="shared" si="8"/>
        <v>0</v>
      </c>
      <c r="X37" s="747">
        <f t="shared" si="8"/>
        <v>0</v>
      </c>
      <c r="Y37" s="747">
        <f t="shared" si="8"/>
        <v>0</v>
      </c>
      <c r="Z37" s="747">
        <f t="shared" si="8"/>
        <v>0</v>
      </c>
      <c r="AA37" s="747">
        <f t="shared" si="8"/>
        <v>0</v>
      </c>
      <c r="AB37" s="790">
        <f t="shared" si="8"/>
        <v>0</v>
      </c>
      <c r="AC37" s="791">
        <f t="shared" si="8"/>
        <v>0</v>
      </c>
      <c r="AD37" s="163"/>
      <c r="AE37" s="163"/>
    </row>
    <row r="38" spans="2:31" s="74" customFormat="1" ht="10.5" customHeight="1">
      <c r="B38" s="97"/>
      <c r="C38" s="99"/>
      <c r="D38" s="747"/>
      <c r="E38" s="747"/>
      <c r="F38" s="747"/>
      <c r="G38" s="747"/>
      <c r="H38" s="747"/>
      <c r="I38" s="747"/>
      <c r="J38" s="747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47"/>
      <c r="Y38" s="747"/>
      <c r="Z38" s="747"/>
      <c r="AA38" s="747"/>
      <c r="AB38" s="790"/>
      <c r="AC38" s="791"/>
      <c r="AD38" s="163"/>
      <c r="AE38" s="163"/>
    </row>
    <row r="39" spans="2:31" s="74" customFormat="1" ht="18" customHeight="1">
      <c r="B39" s="109" t="s">
        <v>248</v>
      </c>
      <c r="C39" s="108" t="s">
        <v>249</v>
      </c>
      <c r="D39" s="747">
        <f t="shared" ref="D39:D49" si="9">F39+H39+J39+L39+N39+P39+R39+T39+V39+X39+Z39+AB39</f>
        <v>11628732</v>
      </c>
      <c r="E39" s="747">
        <f t="shared" ref="E39:E49" si="10">G39+I39+K39+M39+O39+Q39+S39+U39+W39+Y39+AA39+AC39</f>
        <v>11628732</v>
      </c>
      <c r="F39" s="749">
        <v>3596400</v>
      </c>
      <c r="G39" s="749">
        <v>3596400</v>
      </c>
      <c r="H39" s="749">
        <v>482532</v>
      </c>
      <c r="I39" s="749">
        <v>482532</v>
      </c>
      <c r="J39" s="749">
        <v>7549800</v>
      </c>
      <c r="K39" s="749">
        <v>7549800</v>
      </c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749"/>
      <c r="W39" s="749"/>
      <c r="X39" s="749"/>
      <c r="Y39" s="749"/>
      <c r="Z39" s="749"/>
      <c r="AA39" s="749"/>
      <c r="AB39" s="750"/>
      <c r="AC39" s="751"/>
      <c r="AD39" s="163"/>
      <c r="AE39" s="163"/>
    </row>
    <row r="40" spans="2:31" s="74" customFormat="1" ht="18" customHeight="1">
      <c r="B40" s="109" t="s">
        <v>248</v>
      </c>
      <c r="C40" s="108" t="s">
        <v>254</v>
      </c>
      <c r="D40" s="747">
        <f t="shared" si="9"/>
        <v>13724577</v>
      </c>
      <c r="E40" s="747">
        <f t="shared" si="10"/>
        <v>13724577</v>
      </c>
      <c r="F40" s="749">
        <v>10712305</v>
      </c>
      <c r="G40" s="749">
        <v>10712305</v>
      </c>
      <c r="H40" s="749">
        <v>1412772</v>
      </c>
      <c r="I40" s="749">
        <v>1412772</v>
      </c>
      <c r="J40" s="749">
        <v>1599500</v>
      </c>
      <c r="K40" s="749">
        <v>1599500</v>
      </c>
      <c r="L40" s="749"/>
      <c r="M40" s="749"/>
      <c r="N40" s="749"/>
      <c r="O40" s="749"/>
      <c r="P40" s="749"/>
      <c r="Q40" s="749"/>
      <c r="R40" s="749"/>
      <c r="S40" s="749"/>
      <c r="T40" s="749"/>
      <c r="U40" s="749"/>
      <c r="V40" s="749"/>
      <c r="W40" s="749"/>
      <c r="X40" s="749"/>
      <c r="Y40" s="749"/>
      <c r="Z40" s="749"/>
      <c r="AA40" s="749"/>
      <c r="AB40" s="750"/>
      <c r="AC40" s="751"/>
      <c r="AD40" s="163"/>
      <c r="AE40" s="163"/>
    </row>
    <row r="41" spans="2:31" s="74" customFormat="1" ht="18" customHeight="1">
      <c r="B41" s="109" t="s">
        <v>248</v>
      </c>
      <c r="C41" s="108" t="s">
        <v>276</v>
      </c>
      <c r="D41" s="747">
        <f t="shared" si="9"/>
        <v>35654735</v>
      </c>
      <c r="E41" s="747">
        <f t="shared" si="10"/>
        <v>35654735</v>
      </c>
      <c r="F41" s="749">
        <v>19574900</v>
      </c>
      <c r="G41" s="749">
        <v>19574900</v>
      </c>
      <c r="H41" s="749">
        <v>2620435</v>
      </c>
      <c r="I41" s="749">
        <v>2620435</v>
      </c>
      <c r="J41" s="749">
        <v>5959400</v>
      </c>
      <c r="K41" s="749">
        <v>5959400</v>
      </c>
      <c r="L41" s="749"/>
      <c r="M41" s="749"/>
      <c r="N41" s="749"/>
      <c r="O41" s="749"/>
      <c r="P41" s="749"/>
      <c r="Q41" s="749"/>
      <c r="R41" s="749"/>
      <c r="S41" s="749"/>
      <c r="T41" s="749">
        <v>7500000</v>
      </c>
      <c r="U41" s="749">
        <v>7500000</v>
      </c>
      <c r="V41" s="749"/>
      <c r="W41" s="749"/>
      <c r="X41" s="749"/>
      <c r="Y41" s="749"/>
      <c r="Z41" s="749"/>
      <c r="AA41" s="749"/>
      <c r="AB41" s="750"/>
      <c r="AC41" s="751"/>
      <c r="AD41" s="163"/>
      <c r="AE41" s="163"/>
    </row>
    <row r="42" spans="2:31" s="74" customFormat="1" ht="18" customHeight="1">
      <c r="B42" s="109" t="s">
        <v>248</v>
      </c>
      <c r="C42" s="108" t="s">
        <v>277</v>
      </c>
      <c r="D42" s="747">
        <f t="shared" si="9"/>
        <v>79425721</v>
      </c>
      <c r="E42" s="747">
        <f t="shared" si="10"/>
        <v>79425721</v>
      </c>
      <c r="F42" s="749">
        <v>48406223</v>
      </c>
      <c r="G42" s="749">
        <v>48406223</v>
      </c>
      <c r="H42" s="749">
        <v>8760521</v>
      </c>
      <c r="I42" s="749">
        <v>8760521</v>
      </c>
      <c r="J42" s="749">
        <v>19031977</v>
      </c>
      <c r="K42" s="749">
        <v>19031977</v>
      </c>
      <c r="L42" s="749"/>
      <c r="M42" s="749"/>
      <c r="N42" s="749"/>
      <c r="O42" s="749"/>
      <c r="P42" s="749"/>
      <c r="Q42" s="749"/>
      <c r="R42" s="749">
        <v>949999</v>
      </c>
      <c r="S42" s="749">
        <v>949999</v>
      </c>
      <c r="T42" s="749">
        <v>2277001</v>
      </c>
      <c r="U42" s="749">
        <v>2277001</v>
      </c>
      <c r="V42" s="749"/>
      <c r="W42" s="749"/>
      <c r="X42" s="749"/>
      <c r="Y42" s="749"/>
      <c r="Z42" s="749"/>
      <c r="AA42" s="749"/>
      <c r="AB42" s="750"/>
      <c r="AC42" s="751"/>
      <c r="AD42" s="163"/>
      <c r="AE42" s="163"/>
    </row>
    <row r="43" spans="2:31" s="74" customFormat="1" ht="18" customHeight="1">
      <c r="B43" s="109" t="s">
        <v>248</v>
      </c>
      <c r="C43" s="108" t="s">
        <v>288</v>
      </c>
      <c r="D43" s="747">
        <f t="shared" si="9"/>
        <v>92511074</v>
      </c>
      <c r="E43" s="747">
        <f t="shared" si="10"/>
        <v>92627853</v>
      </c>
      <c r="F43" s="748">
        <v>19980997</v>
      </c>
      <c r="G43" s="748">
        <v>19980997</v>
      </c>
      <c r="H43" s="748">
        <v>2671706</v>
      </c>
      <c r="I43" s="748">
        <v>2671706</v>
      </c>
      <c r="J43" s="748">
        <v>69559635</v>
      </c>
      <c r="K43" s="748">
        <v>69676414</v>
      </c>
      <c r="L43" s="748"/>
      <c r="M43" s="748"/>
      <c r="N43" s="748"/>
      <c r="O43" s="748"/>
      <c r="P43" s="748"/>
      <c r="Q43" s="748"/>
      <c r="R43" s="748"/>
      <c r="S43" s="748"/>
      <c r="T43" s="748">
        <v>298736</v>
      </c>
      <c r="U43" s="748">
        <v>298736</v>
      </c>
      <c r="V43" s="749"/>
      <c r="W43" s="749"/>
      <c r="X43" s="749"/>
      <c r="Y43" s="749"/>
      <c r="Z43" s="749"/>
      <c r="AA43" s="749"/>
      <c r="AB43" s="750"/>
      <c r="AC43" s="751"/>
      <c r="AD43" s="163"/>
      <c r="AE43" s="163"/>
    </row>
    <row r="44" spans="2:31" s="74" customFormat="1" ht="18" customHeight="1">
      <c r="B44" s="109" t="s">
        <v>248</v>
      </c>
      <c r="C44" s="108" t="s">
        <v>289</v>
      </c>
      <c r="D44" s="747">
        <f t="shared" si="9"/>
        <v>844098</v>
      </c>
      <c r="E44" s="747">
        <f t="shared" si="10"/>
        <v>844098</v>
      </c>
      <c r="F44" s="748">
        <v>192527</v>
      </c>
      <c r="G44" s="748">
        <v>192527</v>
      </c>
      <c r="H44" s="748">
        <v>25743</v>
      </c>
      <c r="I44" s="748">
        <v>25743</v>
      </c>
      <c r="J44" s="748">
        <v>622950</v>
      </c>
      <c r="K44" s="748">
        <v>622950</v>
      </c>
      <c r="L44" s="748"/>
      <c r="M44" s="748"/>
      <c r="N44" s="748"/>
      <c r="O44" s="748"/>
      <c r="P44" s="748"/>
      <c r="Q44" s="748"/>
      <c r="R44" s="748"/>
      <c r="S44" s="748"/>
      <c r="T44" s="748">
        <v>2878</v>
      </c>
      <c r="U44" s="748">
        <v>2878</v>
      </c>
      <c r="V44" s="749"/>
      <c r="W44" s="749"/>
      <c r="X44" s="749"/>
      <c r="Y44" s="749"/>
      <c r="Z44" s="749"/>
      <c r="AA44" s="749"/>
      <c r="AB44" s="750"/>
      <c r="AC44" s="751"/>
      <c r="AD44" s="163"/>
      <c r="AE44" s="163"/>
    </row>
    <row r="45" spans="2:31" s="74" customFormat="1" ht="18" customHeight="1">
      <c r="B45" s="109" t="s">
        <v>377</v>
      </c>
      <c r="C45" s="108" t="s">
        <v>841</v>
      </c>
      <c r="D45" s="747">
        <f t="shared" si="9"/>
        <v>34089282</v>
      </c>
      <c r="E45" s="747">
        <f t="shared" si="10"/>
        <v>34089282</v>
      </c>
      <c r="F45" s="748">
        <f>7681790+200000</f>
        <v>7881790</v>
      </c>
      <c r="G45" s="748">
        <f>7681790+200000</f>
        <v>7881790</v>
      </c>
      <c r="H45" s="748">
        <v>1053151</v>
      </c>
      <c r="I45" s="748">
        <v>1053151</v>
      </c>
      <c r="J45" s="748">
        <v>25039491</v>
      </c>
      <c r="K45" s="748">
        <v>25039491</v>
      </c>
      <c r="L45" s="748"/>
      <c r="M45" s="748"/>
      <c r="N45" s="748"/>
      <c r="O45" s="748"/>
      <c r="P45" s="748"/>
      <c r="Q45" s="748"/>
      <c r="R45" s="748"/>
      <c r="S45" s="748"/>
      <c r="T45" s="748">
        <v>114850</v>
      </c>
      <c r="U45" s="748">
        <v>114850</v>
      </c>
      <c r="V45" s="749"/>
      <c r="W45" s="749"/>
      <c r="X45" s="749"/>
      <c r="Y45" s="749"/>
      <c r="Z45" s="749"/>
      <c r="AA45" s="749"/>
      <c r="AB45" s="750"/>
      <c r="AC45" s="751"/>
      <c r="AD45" s="163"/>
      <c r="AE45" s="163"/>
    </row>
    <row r="46" spans="2:31" s="492" customFormat="1" ht="18" customHeight="1">
      <c r="B46" s="109" t="s">
        <v>248</v>
      </c>
      <c r="C46" s="108" t="s">
        <v>327</v>
      </c>
      <c r="D46" s="864">
        <f t="shared" si="9"/>
        <v>944209</v>
      </c>
      <c r="E46" s="864">
        <f t="shared" si="10"/>
        <v>944209</v>
      </c>
      <c r="F46" s="748">
        <v>236486</v>
      </c>
      <c r="G46" s="748">
        <v>236486</v>
      </c>
      <c r="H46" s="748">
        <v>31620</v>
      </c>
      <c r="I46" s="748">
        <v>31620</v>
      </c>
      <c r="J46" s="748">
        <v>672567</v>
      </c>
      <c r="K46" s="748">
        <v>672567</v>
      </c>
      <c r="L46" s="748"/>
      <c r="M46" s="748"/>
      <c r="N46" s="748"/>
      <c r="O46" s="748"/>
      <c r="P46" s="748"/>
      <c r="Q46" s="748"/>
      <c r="R46" s="748"/>
      <c r="S46" s="748"/>
      <c r="T46" s="748">
        <v>3536</v>
      </c>
      <c r="U46" s="748">
        <v>3536</v>
      </c>
      <c r="V46" s="748"/>
      <c r="W46" s="748"/>
      <c r="X46" s="748"/>
      <c r="Y46" s="748"/>
      <c r="Z46" s="748"/>
      <c r="AA46" s="748"/>
      <c r="AB46" s="865"/>
      <c r="AC46" s="866"/>
      <c r="AD46" s="523"/>
      <c r="AE46" s="523"/>
    </row>
    <row r="47" spans="2:31" s="74" customFormat="1" ht="18" hidden="1" customHeight="1">
      <c r="B47" s="109" t="s">
        <v>377</v>
      </c>
      <c r="C47" s="108" t="s">
        <v>436</v>
      </c>
      <c r="D47" s="747">
        <f t="shared" si="9"/>
        <v>0</v>
      </c>
      <c r="E47" s="747">
        <f t="shared" si="10"/>
        <v>0</v>
      </c>
      <c r="F47" s="748"/>
      <c r="G47" s="748"/>
      <c r="H47" s="748"/>
      <c r="I47" s="748"/>
      <c r="J47" s="748"/>
      <c r="K47" s="748"/>
      <c r="L47" s="748"/>
      <c r="M47" s="748"/>
      <c r="N47" s="748"/>
      <c r="O47" s="748"/>
      <c r="P47" s="748"/>
      <c r="Q47" s="748"/>
      <c r="R47" s="748"/>
      <c r="S47" s="748"/>
      <c r="T47" s="748"/>
      <c r="U47" s="748"/>
      <c r="V47" s="749"/>
      <c r="W47" s="749"/>
      <c r="X47" s="749"/>
      <c r="Y47" s="749"/>
      <c r="Z47" s="749"/>
      <c r="AA47" s="749"/>
      <c r="AB47" s="750"/>
      <c r="AC47" s="751"/>
      <c r="AD47" s="163"/>
      <c r="AE47" s="163"/>
    </row>
    <row r="48" spans="2:31" s="74" customFormat="1" ht="18" customHeight="1">
      <c r="B48" s="109" t="s">
        <v>618</v>
      </c>
      <c r="C48" s="550" t="s">
        <v>269</v>
      </c>
      <c r="D48" s="747">
        <f t="shared" si="9"/>
        <v>8784000</v>
      </c>
      <c r="E48" s="747">
        <f t="shared" si="10"/>
        <v>8784000</v>
      </c>
      <c r="F48" s="748"/>
      <c r="G48" s="748"/>
      <c r="H48" s="748"/>
      <c r="I48" s="748"/>
      <c r="J48" s="748">
        <v>8784000</v>
      </c>
      <c r="K48" s="748">
        <v>8784000</v>
      </c>
      <c r="L48" s="748"/>
      <c r="M48" s="748"/>
      <c r="N48" s="748"/>
      <c r="O48" s="748"/>
      <c r="P48" s="748"/>
      <c r="Q48" s="748"/>
      <c r="R48" s="748"/>
      <c r="S48" s="748"/>
      <c r="T48" s="748"/>
      <c r="U48" s="748"/>
      <c r="V48" s="749"/>
      <c r="W48" s="749"/>
      <c r="X48" s="749"/>
      <c r="Y48" s="749"/>
      <c r="Z48" s="749"/>
      <c r="AA48" s="749"/>
      <c r="AB48" s="750"/>
      <c r="AC48" s="751"/>
      <c r="AD48" s="163"/>
      <c r="AE48" s="163"/>
    </row>
    <row r="49" spans="2:31" s="74" customFormat="1" ht="18" customHeight="1">
      <c r="B49" s="109" t="s">
        <v>248</v>
      </c>
      <c r="C49" s="87" t="s">
        <v>252</v>
      </c>
      <c r="D49" s="747">
        <f t="shared" si="9"/>
        <v>0</v>
      </c>
      <c r="E49" s="747">
        <f t="shared" si="10"/>
        <v>0</v>
      </c>
      <c r="F49" s="749"/>
      <c r="G49" s="749"/>
      <c r="H49" s="748"/>
      <c r="I49" s="748"/>
      <c r="J49" s="748"/>
      <c r="K49" s="748"/>
      <c r="L49" s="748"/>
      <c r="M49" s="749"/>
      <c r="N49" s="749"/>
      <c r="O49" s="749"/>
      <c r="P49" s="749"/>
      <c r="Q49" s="749"/>
      <c r="R49" s="749"/>
      <c r="S49" s="749"/>
      <c r="T49" s="749"/>
      <c r="U49" s="749"/>
      <c r="V49" s="749"/>
      <c r="W49" s="749"/>
      <c r="X49" s="749"/>
      <c r="Y49" s="749"/>
      <c r="Z49" s="749"/>
      <c r="AA49" s="749"/>
      <c r="AB49" s="750"/>
      <c r="AC49" s="751"/>
      <c r="AD49" s="163"/>
      <c r="AE49" s="163"/>
    </row>
    <row r="50" spans="2:31" s="74" customFormat="1" ht="18" customHeight="1">
      <c r="B50" s="97"/>
      <c r="C50" s="99" t="s">
        <v>335</v>
      </c>
      <c r="D50" s="747">
        <f t="shared" ref="D50:AC50" si="11">SUM(D39:D49)</f>
        <v>277606428</v>
      </c>
      <c r="E50" s="747">
        <f t="shared" si="11"/>
        <v>277723207</v>
      </c>
      <c r="F50" s="747">
        <f t="shared" si="11"/>
        <v>110581628</v>
      </c>
      <c r="G50" s="747">
        <f t="shared" si="11"/>
        <v>110581628</v>
      </c>
      <c r="H50" s="747">
        <f t="shared" si="11"/>
        <v>17058480</v>
      </c>
      <c r="I50" s="747">
        <f t="shared" si="11"/>
        <v>17058480</v>
      </c>
      <c r="J50" s="747">
        <f t="shared" si="11"/>
        <v>138819320</v>
      </c>
      <c r="K50" s="747">
        <f t="shared" si="11"/>
        <v>138936099</v>
      </c>
      <c r="L50" s="747">
        <f t="shared" si="11"/>
        <v>0</v>
      </c>
      <c r="M50" s="747">
        <f t="shared" si="11"/>
        <v>0</v>
      </c>
      <c r="N50" s="747">
        <f t="shared" si="11"/>
        <v>0</v>
      </c>
      <c r="O50" s="747">
        <f t="shared" si="11"/>
        <v>0</v>
      </c>
      <c r="P50" s="747">
        <f t="shared" si="11"/>
        <v>0</v>
      </c>
      <c r="Q50" s="747">
        <f t="shared" si="11"/>
        <v>0</v>
      </c>
      <c r="R50" s="747">
        <f t="shared" si="11"/>
        <v>949999</v>
      </c>
      <c r="S50" s="747">
        <f t="shared" si="11"/>
        <v>949999</v>
      </c>
      <c r="T50" s="747">
        <f t="shared" si="11"/>
        <v>10197001</v>
      </c>
      <c r="U50" s="747">
        <f t="shared" si="11"/>
        <v>10197001</v>
      </c>
      <c r="V50" s="747">
        <f t="shared" si="11"/>
        <v>0</v>
      </c>
      <c r="W50" s="747">
        <f t="shared" si="11"/>
        <v>0</v>
      </c>
      <c r="X50" s="747">
        <f t="shared" si="11"/>
        <v>0</v>
      </c>
      <c r="Y50" s="747">
        <f t="shared" si="11"/>
        <v>0</v>
      </c>
      <c r="Z50" s="747">
        <f t="shared" si="11"/>
        <v>0</v>
      </c>
      <c r="AA50" s="747">
        <f t="shared" si="11"/>
        <v>0</v>
      </c>
      <c r="AB50" s="790">
        <f t="shared" si="11"/>
        <v>0</v>
      </c>
      <c r="AC50" s="791">
        <f t="shared" si="11"/>
        <v>0</v>
      </c>
      <c r="AD50" s="163"/>
      <c r="AE50" s="163"/>
    </row>
    <row r="51" spans="2:31" s="74" customFormat="1" ht="9" customHeight="1">
      <c r="B51" s="97"/>
      <c r="C51" s="87"/>
      <c r="D51" s="747"/>
      <c r="E51" s="747"/>
      <c r="F51" s="749"/>
      <c r="G51" s="749"/>
      <c r="H51" s="749"/>
      <c r="I51" s="749"/>
      <c r="J51" s="749"/>
      <c r="K51" s="749"/>
      <c r="L51" s="749"/>
      <c r="M51" s="749"/>
      <c r="N51" s="749"/>
      <c r="O51" s="749"/>
      <c r="P51" s="749"/>
      <c r="Q51" s="749"/>
      <c r="R51" s="749"/>
      <c r="S51" s="749"/>
      <c r="T51" s="749"/>
      <c r="U51" s="749"/>
      <c r="V51" s="749"/>
      <c r="W51" s="749"/>
      <c r="X51" s="749"/>
      <c r="Y51" s="749"/>
      <c r="Z51" s="749"/>
      <c r="AA51" s="749"/>
      <c r="AB51" s="750"/>
      <c r="AC51" s="751"/>
      <c r="AD51" s="163"/>
      <c r="AE51" s="163"/>
    </row>
    <row r="52" spans="2:31" s="74" customFormat="1" ht="18" customHeight="1">
      <c r="B52" s="1136" t="s">
        <v>71</v>
      </c>
      <c r="C52" s="1137"/>
      <c r="D52" s="747">
        <f t="shared" ref="D52:AC52" si="12">D18+D26+D37+D50</f>
        <v>1283411262</v>
      </c>
      <c r="E52" s="747">
        <f t="shared" si="12"/>
        <v>1310830615</v>
      </c>
      <c r="F52" s="747">
        <f t="shared" si="12"/>
        <v>728583856</v>
      </c>
      <c r="G52" s="747">
        <f t="shared" si="12"/>
        <v>728589709</v>
      </c>
      <c r="H52" s="747">
        <f t="shared" si="12"/>
        <v>108286907</v>
      </c>
      <c r="I52" s="747">
        <f t="shared" si="12"/>
        <v>108286907</v>
      </c>
      <c r="J52" s="747">
        <f t="shared" si="12"/>
        <v>412192999</v>
      </c>
      <c r="K52" s="747">
        <f t="shared" si="12"/>
        <v>439606499</v>
      </c>
      <c r="L52" s="747">
        <f t="shared" si="12"/>
        <v>270000</v>
      </c>
      <c r="M52" s="747">
        <f t="shared" si="12"/>
        <v>270000</v>
      </c>
      <c r="N52" s="747">
        <f t="shared" si="12"/>
        <v>0</v>
      </c>
      <c r="O52" s="747">
        <f t="shared" si="12"/>
        <v>0</v>
      </c>
      <c r="P52" s="747">
        <f t="shared" si="12"/>
        <v>0</v>
      </c>
      <c r="Q52" s="747">
        <f t="shared" si="12"/>
        <v>0</v>
      </c>
      <c r="R52" s="747">
        <f t="shared" si="12"/>
        <v>949999</v>
      </c>
      <c r="S52" s="747">
        <f t="shared" si="12"/>
        <v>1001752</v>
      </c>
      <c r="T52" s="747">
        <f t="shared" si="12"/>
        <v>33127501</v>
      </c>
      <c r="U52" s="747">
        <f t="shared" si="12"/>
        <v>33075748</v>
      </c>
      <c r="V52" s="747">
        <f t="shared" si="12"/>
        <v>0</v>
      </c>
      <c r="W52" s="747">
        <f t="shared" si="12"/>
        <v>0</v>
      </c>
      <c r="X52" s="747">
        <f t="shared" si="12"/>
        <v>0</v>
      </c>
      <c r="Y52" s="747">
        <f t="shared" si="12"/>
        <v>0</v>
      </c>
      <c r="Z52" s="747">
        <f t="shared" si="12"/>
        <v>0</v>
      </c>
      <c r="AA52" s="747">
        <f t="shared" si="12"/>
        <v>0</v>
      </c>
      <c r="AB52" s="790">
        <f t="shared" si="12"/>
        <v>0</v>
      </c>
      <c r="AC52" s="791">
        <f t="shared" si="12"/>
        <v>0</v>
      </c>
      <c r="AD52" s="163"/>
      <c r="AE52" s="163"/>
    </row>
    <row r="53" spans="2:31" s="74" customFormat="1" ht="8.25" customHeight="1">
      <c r="B53" s="97"/>
      <c r="C53" s="87"/>
      <c r="D53" s="747"/>
      <c r="E53" s="747"/>
      <c r="F53" s="749"/>
      <c r="G53" s="749"/>
      <c r="H53" s="749"/>
      <c r="I53" s="749"/>
      <c r="J53" s="749"/>
      <c r="K53" s="749"/>
      <c r="L53" s="749"/>
      <c r="M53" s="749"/>
      <c r="N53" s="749"/>
      <c r="O53" s="749"/>
      <c r="P53" s="749"/>
      <c r="Q53" s="749"/>
      <c r="R53" s="749"/>
      <c r="S53" s="749"/>
      <c r="T53" s="749"/>
      <c r="U53" s="749"/>
      <c r="V53" s="749"/>
      <c r="W53" s="749"/>
      <c r="X53" s="749"/>
      <c r="Y53" s="749"/>
      <c r="Z53" s="749"/>
      <c r="AA53" s="749"/>
      <c r="AB53" s="750"/>
      <c r="AC53" s="751"/>
      <c r="AD53" s="163"/>
      <c r="AE53" s="163"/>
    </row>
    <row r="54" spans="2:31" s="74" customFormat="1" ht="18" customHeight="1">
      <c r="B54" s="1136" t="s">
        <v>10</v>
      </c>
      <c r="C54" s="1137"/>
      <c r="D54" s="763">
        <f>D52-D56-D58</f>
        <v>665992041</v>
      </c>
      <c r="E54" s="763">
        <f>E52-E56-E58</f>
        <v>669140674</v>
      </c>
      <c r="F54" s="763">
        <f t="shared" ref="F54:AB54" si="13">F52-F56-F58</f>
        <v>366261682</v>
      </c>
      <c r="G54" s="763">
        <f t="shared" si="13"/>
        <v>366263671</v>
      </c>
      <c r="H54" s="763">
        <f t="shared" si="13"/>
        <v>54814174</v>
      </c>
      <c r="I54" s="763">
        <f t="shared" si="13"/>
        <v>54814174</v>
      </c>
      <c r="J54" s="763">
        <f t="shared" si="13"/>
        <v>229926185</v>
      </c>
      <c r="K54" s="763">
        <f t="shared" si="13"/>
        <v>233072829</v>
      </c>
      <c r="L54" s="763">
        <f t="shared" si="13"/>
        <v>0</v>
      </c>
      <c r="M54" s="763">
        <f t="shared" si="13"/>
        <v>0</v>
      </c>
      <c r="N54" s="763">
        <f t="shared" si="13"/>
        <v>0</v>
      </c>
      <c r="O54" s="763">
        <f t="shared" si="13"/>
        <v>0</v>
      </c>
      <c r="P54" s="763">
        <f t="shared" si="13"/>
        <v>0</v>
      </c>
      <c r="Q54" s="763">
        <f t="shared" si="13"/>
        <v>0</v>
      </c>
      <c r="R54" s="763">
        <f t="shared" si="13"/>
        <v>949999</v>
      </c>
      <c r="S54" s="763">
        <f t="shared" si="13"/>
        <v>949999</v>
      </c>
      <c r="T54" s="763">
        <f t="shared" si="13"/>
        <v>14040001</v>
      </c>
      <c r="U54" s="763">
        <f t="shared" si="13"/>
        <v>14040001</v>
      </c>
      <c r="V54" s="763">
        <f t="shared" si="13"/>
        <v>0</v>
      </c>
      <c r="W54" s="763">
        <f t="shared" si="13"/>
        <v>0</v>
      </c>
      <c r="X54" s="763">
        <f t="shared" si="13"/>
        <v>0</v>
      </c>
      <c r="Y54" s="763">
        <f t="shared" si="13"/>
        <v>0</v>
      </c>
      <c r="Z54" s="763">
        <f t="shared" si="13"/>
        <v>0</v>
      </c>
      <c r="AA54" s="763">
        <f t="shared" si="13"/>
        <v>0</v>
      </c>
      <c r="AB54" s="763">
        <f t="shared" si="13"/>
        <v>0</v>
      </c>
      <c r="AC54" s="793">
        <f>AC11+AC12+AC13+AC14+AC20+AC21+AC22+AC39+AC40+AC41+AC42+AC43+AC46</f>
        <v>0</v>
      </c>
      <c r="AD54" s="163"/>
      <c r="AE54" s="163"/>
    </row>
    <row r="55" spans="2:31" s="74" customFormat="1" ht="9" customHeight="1">
      <c r="B55" s="97"/>
      <c r="C55" s="88"/>
      <c r="D55" s="763"/>
      <c r="E55" s="763"/>
      <c r="F55" s="763"/>
      <c r="G55" s="763"/>
      <c r="H55" s="763"/>
      <c r="I55" s="763"/>
      <c r="J55" s="763"/>
      <c r="K55" s="763"/>
      <c r="L55" s="763"/>
      <c r="M55" s="763"/>
      <c r="N55" s="763"/>
      <c r="O55" s="763"/>
      <c r="P55" s="763"/>
      <c r="Q55" s="763"/>
      <c r="R55" s="763"/>
      <c r="S55" s="763"/>
      <c r="T55" s="763"/>
      <c r="U55" s="763"/>
      <c r="V55" s="763"/>
      <c r="W55" s="763"/>
      <c r="X55" s="763"/>
      <c r="Y55" s="763"/>
      <c r="Z55" s="763"/>
      <c r="AA55" s="763"/>
      <c r="AB55" s="792"/>
      <c r="AC55" s="793"/>
      <c r="AD55" s="163"/>
      <c r="AE55" s="163"/>
    </row>
    <row r="56" spans="2:31" s="74" customFormat="1" ht="18" customHeight="1">
      <c r="B56" s="1136" t="s">
        <v>376</v>
      </c>
      <c r="C56" s="1137"/>
      <c r="D56" s="763">
        <f t="shared" ref="D56:AC56" si="14">D28+D29+D30+D31+D32+D33+D35+D47</f>
        <v>617419221</v>
      </c>
      <c r="E56" s="763">
        <f t="shared" si="14"/>
        <v>641689941</v>
      </c>
      <c r="F56" s="763">
        <f t="shared" si="14"/>
        <v>362322174</v>
      </c>
      <c r="G56" s="763">
        <f t="shared" si="14"/>
        <v>362326038</v>
      </c>
      <c r="H56" s="763">
        <f t="shared" si="14"/>
        <v>53472733</v>
      </c>
      <c r="I56" s="763">
        <f t="shared" si="14"/>
        <v>53472733</v>
      </c>
      <c r="J56" s="763">
        <f t="shared" si="14"/>
        <v>182266814</v>
      </c>
      <c r="K56" s="763">
        <f t="shared" si="14"/>
        <v>206533670</v>
      </c>
      <c r="L56" s="763">
        <f t="shared" si="14"/>
        <v>270000</v>
      </c>
      <c r="M56" s="763">
        <f t="shared" si="14"/>
        <v>270000</v>
      </c>
      <c r="N56" s="763">
        <f t="shared" si="14"/>
        <v>0</v>
      </c>
      <c r="O56" s="763">
        <f t="shared" si="14"/>
        <v>0</v>
      </c>
      <c r="P56" s="763">
        <f t="shared" si="14"/>
        <v>0</v>
      </c>
      <c r="Q56" s="763">
        <f t="shared" si="14"/>
        <v>0</v>
      </c>
      <c r="R56" s="763">
        <f t="shared" si="14"/>
        <v>0</v>
      </c>
      <c r="S56" s="763">
        <f t="shared" si="14"/>
        <v>51753</v>
      </c>
      <c r="T56" s="763">
        <f t="shared" si="14"/>
        <v>19087500</v>
      </c>
      <c r="U56" s="763">
        <f t="shared" si="14"/>
        <v>19035747</v>
      </c>
      <c r="V56" s="763">
        <f t="shared" si="14"/>
        <v>0</v>
      </c>
      <c r="W56" s="763">
        <f t="shared" si="14"/>
        <v>0</v>
      </c>
      <c r="X56" s="763">
        <f t="shared" si="14"/>
        <v>0</v>
      </c>
      <c r="Y56" s="763">
        <f t="shared" si="14"/>
        <v>0</v>
      </c>
      <c r="Z56" s="763">
        <f t="shared" si="14"/>
        <v>0</v>
      </c>
      <c r="AA56" s="763">
        <f t="shared" si="14"/>
        <v>0</v>
      </c>
      <c r="AB56" s="763">
        <f t="shared" si="14"/>
        <v>0</v>
      </c>
      <c r="AC56" s="763">
        <f t="shared" si="14"/>
        <v>0</v>
      </c>
      <c r="AD56" s="163"/>
      <c r="AE56" s="163"/>
    </row>
    <row r="57" spans="2:31">
      <c r="B57" s="97"/>
      <c r="C57" s="88"/>
      <c r="D57" s="763"/>
      <c r="E57" s="763"/>
      <c r="F57" s="763"/>
      <c r="G57" s="763"/>
      <c r="H57" s="763"/>
      <c r="I57" s="763"/>
      <c r="J57" s="763"/>
      <c r="K57" s="763"/>
      <c r="L57" s="763"/>
      <c r="M57" s="763"/>
      <c r="N57" s="763"/>
      <c r="O57" s="763"/>
      <c r="P57" s="763"/>
      <c r="Q57" s="763"/>
      <c r="R57" s="763"/>
      <c r="S57" s="763"/>
      <c r="T57" s="763"/>
      <c r="U57" s="763"/>
      <c r="V57" s="763"/>
      <c r="W57" s="763"/>
      <c r="X57" s="763"/>
      <c r="Y57" s="763"/>
      <c r="Z57" s="763"/>
      <c r="AA57" s="763"/>
      <c r="AB57" s="792"/>
      <c r="AC57" s="793"/>
      <c r="AD57" s="168"/>
      <c r="AE57" s="168"/>
    </row>
    <row r="58" spans="2:31" ht="13.5" thickBot="1">
      <c r="B58" s="1172" t="s">
        <v>435</v>
      </c>
      <c r="C58" s="1173"/>
      <c r="D58" s="794">
        <v>0</v>
      </c>
      <c r="E58" s="794">
        <v>0</v>
      </c>
      <c r="F58" s="794">
        <v>0</v>
      </c>
      <c r="G58" s="794">
        <v>0</v>
      </c>
      <c r="H58" s="794">
        <v>0</v>
      </c>
      <c r="I58" s="794">
        <v>0</v>
      </c>
      <c r="J58" s="794">
        <v>0</v>
      </c>
      <c r="K58" s="794">
        <v>0</v>
      </c>
      <c r="L58" s="794">
        <v>0</v>
      </c>
      <c r="M58" s="794">
        <v>0</v>
      </c>
      <c r="N58" s="794">
        <v>0</v>
      </c>
      <c r="O58" s="794">
        <v>0</v>
      </c>
      <c r="P58" s="794">
        <v>0</v>
      </c>
      <c r="Q58" s="794">
        <v>0</v>
      </c>
      <c r="R58" s="794">
        <v>0</v>
      </c>
      <c r="S58" s="794">
        <v>0</v>
      </c>
      <c r="T58" s="794">
        <v>0</v>
      </c>
      <c r="U58" s="794">
        <v>0</v>
      </c>
      <c r="V58" s="794">
        <v>0</v>
      </c>
      <c r="W58" s="794">
        <v>0</v>
      </c>
      <c r="X58" s="794">
        <v>0</v>
      </c>
      <c r="Y58" s="794">
        <v>0</v>
      </c>
      <c r="Z58" s="794">
        <v>0</v>
      </c>
      <c r="AA58" s="794">
        <v>0</v>
      </c>
      <c r="AB58" s="795">
        <f>AB35+AB37+AB36+AB47+AB50</f>
        <v>0</v>
      </c>
      <c r="AC58" s="796">
        <f>AC35+AC37+AC36+AC47+AC50</f>
        <v>0</v>
      </c>
      <c r="AD58" s="168"/>
      <c r="AE58" s="168"/>
    </row>
    <row r="59" spans="2:31">
      <c r="D59" s="863"/>
      <c r="E59" s="863"/>
      <c r="F59" s="863"/>
      <c r="G59" s="863"/>
      <c r="H59" s="863"/>
      <c r="I59" s="863"/>
      <c r="J59" s="863"/>
      <c r="K59" s="863"/>
      <c r="L59" s="863"/>
      <c r="M59" s="863"/>
      <c r="N59" s="863"/>
      <c r="O59" s="863"/>
      <c r="P59" s="863"/>
      <c r="Q59" s="863"/>
      <c r="R59" s="863"/>
      <c r="S59" s="863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</row>
    <row r="60" spans="2:31"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</row>
    <row r="62" spans="2:31">
      <c r="E62" s="167"/>
      <c r="F62" s="167"/>
      <c r="G62" s="167"/>
      <c r="H62" s="167"/>
      <c r="I62" s="167"/>
      <c r="J62" s="167"/>
      <c r="K62" s="167"/>
    </row>
  </sheetData>
  <mergeCells count="23">
    <mergeCell ref="J7:K8"/>
    <mergeCell ref="F6:Q6"/>
    <mergeCell ref="L7:M8"/>
    <mergeCell ref="N7:O8"/>
    <mergeCell ref="P7:Q8"/>
    <mergeCell ref="V7:W8"/>
    <mergeCell ref="B58:C58"/>
    <mergeCell ref="B54:C54"/>
    <mergeCell ref="B56:C56"/>
    <mergeCell ref="B3:AC3"/>
    <mergeCell ref="B52:C52"/>
    <mergeCell ref="B10:C10"/>
    <mergeCell ref="B6:C9"/>
    <mergeCell ref="D6:E8"/>
    <mergeCell ref="F7:G8"/>
    <mergeCell ref="H7:I8"/>
    <mergeCell ref="X7:Y8"/>
    <mergeCell ref="Z7:AA8"/>
    <mergeCell ref="AB7:AC8"/>
    <mergeCell ref="Z6:AC6"/>
    <mergeCell ref="R6:Y6"/>
    <mergeCell ref="R7:S8"/>
    <mergeCell ref="T7:U8"/>
  </mergeCells>
  <phoneticPr fontId="1" type="noConversion"/>
  <printOptions horizontalCentered="1"/>
  <pageMargins left="0.15748031496062992" right="0.15748031496062992" top="0.78740157480314965" bottom="0.31496062992125984" header="0.86614173228346458" footer="0.31496062992125984"/>
  <pageSetup paperSize="8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9859-3DA7-49A6-9498-F5C6135F08FF}">
  <dimension ref="B1:J61"/>
  <sheetViews>
    <sheetView workbookViewId="0">
      <selection activeCell="L19" sqref="L19"/>
    </sheetView>
  </sheetViews>
  <sheetFormatPr defaultRowHeight="12.75"/>
  <cols>
    <col min="1" max="1" width="1.5703125" style="330" customWidth="1"/>
    <col min="2" max="2" width="27.7109375" style="330" bestFit="1" customWidth="1"/>
    <col min="3" max="3" width="6.5703125" style="330" customWidth="1"/>
    <col min="4" max="4" width="12" style="330" customWidth="1"/>
    <col min="5" max="5" width="12.7109375" style="330" customWidth="1"/>
    <col min="6" max="6" width="12.42578125" style="330" bestFit="1" customWidth="1"/>
    <col min="7" max="7" width="6.5703125" style="330" customWidth="1"/>
    <col min="8" max="8" width="12" style="330" customWidth="1"/>
    <col min="9" max="9" width="12.7109375" style="330" customWidth="1"/>
    <col min="10" max="10" width="12.42578125" style="330" bestFit="1" customWidth="1"/>
    <col min="11" max="11" width="9.85546875" style="330" customWidth="1"/>
    <col min="12" max="12" width="8.5703125" style="330" customWidth="1"/>
    <col min="13" max="13" width="8.7109375" style="330" customWidth="1"/>
    <col min="14" max="16384" width="9.140625" style="330"/>
  </cols>
  <sheetData>
    <row r="1" spans="2:10" ht="10.5" customHeight="1"/>
    <row r="2" spans="2:10">
      <c r="C2" s="329" t="s">
        <v>101</v>
      </c>
      <c r="D2" s="330" t="str">
        <f>'bev-int'!B1</f>
        <v>melléklet a …/2024. (.  .) önkormányzati rendelethez</v>
      </c>
      <c r="G2" s="329"/>
    </row>
    <row r="3" spans="2:10">
      <c r="C3" s="329"/>
      <c r="G3" s="329"/>
    </row>
    <row r="4" spans="2:10">
      <c r="C4" s="329"/>
      <c r="G4" s="329"/>
    </row>
    <row r="5" spans="2:10">
      <c r="B5" s="1223" t="s">
        <v>787</v>
      </c>
      <c r="C5" s="1223"/>
      <c r="D5" s="1223"/>
      <c r="E5" s="1223"/>
      <c r="F5" s="1223"/>
      <c r="G5" s="1042"/>
      <c r="H5" s="1042"/>
      <c r="I5" s="1042"/>
      <c r="J5" s="1042"/>
    </row>
    <row r="6" spans="2:10" ht="12.75" hidden="1" customHeight="1"/>
    <row r="7" spans="2:10" ht="5.25" customHeight="1"/>
    <row r="8" spans="2:10" ht="5.25" customHeight="1"/>
    <row r="9" spans="2:10" ht="18" customHeight="1" thickBot="1"/>
    <row r="10" spans="2:10" s="91" customFormat="1" ht="38.25" customHeight="1" thickBot="1">
      <c r="B10" s="1224" t="s">
        <v>84</v>
      </c>
      <c r="C10" s="581"/>
      <c r="D10" s="1210" t="s">
        <v>788</v>
      </c>
      <c r="E10" s="1211"/>
      <c r="F10" s="1212" t="s">
        <v>347</v>
      </c>
      <c r="G10" s="581"/>
      <c r="H10" s="1210" t="s">
        <v>871</v>
      </c>
      <c r="I10" s="1211"/>
      <c r="J10" s="1212" t="s">
        <v>347</v>
      </c>
    </row>
    <row r="11" spans="2:10" s="91" customFormat="1" ht="12.75" customHeight="1" thickBot="1">
      <c r="B11" s="1225"/>
      <c r="C11" s="1215" t="s">
        <v>219</v>
      </c>
      <c r="D11" s="1217" t="s">
        <v>85</v>
      </c>
      <c r="E11" s="1219" t="s">
        <v>86</v>
      </c>
      <c r="F11" s="1213"/>
      <c r="G11" s="1215" t="s">
        <v>219</v>
      </c>
      <c r="H11" s="1217" t="s">
        <v>85</v>
      </c>
      <c r="I11" s="1219" t="s">
        <v>86</v>
      </c>
      <c r="J11" s="1213"/>
    </row>
    <row r="12" spans="2:10" s="91" customFormat="1" ht="42.75" customHeight="1" thickBot="1">
      <c r="B12" s="1226"/>
      <c r="C12" s="1216"/>
      <c r="D12" s="1218"/>
      <c r="E12" s="1220"/>
      <c r="F12" s="1214"/>
      <c r="G12" s="1216"/>
      <c r="H12" s="1218"/>
      <c r="I12" s="1220"/>
      <c r="J12" s="1214"/>
    </row>
    <row r="13" spans="2:10" s="76" customFormat="1" ht="12">
      <c r="B13" s="540" t="s">
        <v>541</v>
      </c>
      <c r="C13" s="541"/>
      <c r="D13" s="582">
        <v>36</v>
      </c>
      <c r="E13" s="589">
        <v>1.5</v>
      </c>
      <c r="F13" s="428"/>
      <c r="G13" s="541"/>
      <c r="H13" s="582">
        <v>36</v>
      </c>
      <c r="I13" s="589">
        <v>1.5</v>
      </c>
      <c r="J13" s="428"/>
    </row>
    <row r="14" spans="2:10" s="76" customFormat="1" ht="12">
      <c r="B14" s="537"/>
      <c r="C14" s="538"/>
      <c r="D14" s="583"/>
      <c r="E14" s="590"/>
      <c r="F14" s="536"/>
      <c r="G14" s="538"/>
      <c r="H14" s="583"/>
      <c r="I14" s="590"/>
      <c r="J14" s="536"/>
    </row>
    <row r="15" spans="2:10" s="76" customFormat="1" ht="12">
      <c r="B15" s="534" t="s">
        <v>42</v>
      </c>
      <c r="C15" s="535" t="s">
        <v>380</v>
      </c>
      <c r="D15" s="584">
        <v>6</v>
      </c>
      <c r="E15" s="590"/>
      <c r="F15" s="536">
        <v>2</v>
      </c>
      <c r="G15" s="535" t="s">
        <v>380</v>
      </c>
      <c r="H15" s="584">
        <v>6</v>
      </c>
      <c r="I15" s="590"/>
      <c r="J15" s="536">
        <v>2</v>
      </c>
    </row>
    <row r="16" spans="2:10" s="76" customFormat="1" ht="12">
      <c r="B16" s="537"/>
      <c r="C16" s="538"/>
      <c r="D16" s="583"/>
      <c r="E16" s="590"/>
      <c r="F16" s="536"/>
      <c r="G16" s="538"/>
      <c r="H16" s="583"/>
      <c r="I16" s="590"/>
      <c r="J16" s="536"/>
    </row>
    <row r="17" spans="2:10" s="76" customFormat="1" ht="12">
      <c r="B17" s="534" t="s">
        <v>58</v>
      </c>
      <c r="C17" s="535"/>
      <c r="D17" s="584">
        <v>30</v>
      </c>
      <c r="E17" s="591">
        <v>0.75</v>
      </c>
      <c r="F17" s="542">
        <v>2</v>
      </c>
      <c r="G17" s="535"/>
      <c r="H17" s="584">
        <v>30</v>
      </c>
      <c r="I17" s="591">
        <v>0.75</v>
      </c>
      <c r="J17" s="542">
        <v>2</v>
      </c>
    </row>
    <row r="18" spans="2:10" s="76" customFormat="1" ht="12">
      <c r="B18" s="534" t="s">
        <v>551</v>
      </c>
      <c r="C18" s="535"/>
      <c r="D18" s="584">
        <v>6</v>
      </c>
      <c r="E18" s="590"/>
      <c r="F18" s="543"/>
      <c r="G18" s="535"/>
      <c r="H18" s="584">
        <v>6</v>
      </c>
      <c r="I18" s="590"/>
      <c r="J18" s="543"/>
    </row>
    <row r="19" spans="2:10" s="76" customFormat="1" ht="12">
      <c r="B19" s="537"/>
      <c r="C19" s="538"/>
      <c r="D19" s="585"/>
      <c r="E19" s="592"/>
      <c r="F19" s="536"/>
      <c r="G19" s="538"/>
      <c r="H19" s="585"/>
      <c r="I19" s="592"/>
      <c r="J19" s="536"/>
    </row>
    <row r="20" spans="2:10" s="76" customFormat="1" ht="12">
      <c r="B20" s="534" t="s">
        <v>217</v>
      </c>
      <c r="C20" s="535"/>
      <c r="D20" s="586">
        <f>SUM(D21:D30)</f>
        <v>23</v>
      </c>
      <c r="E20" s="593">
        <f>SUM(E21:E30)</f>
        <v>0.5</v>
      </c>
      <c r="F20" s="579">
        <f>SUM(F21:F30)</f>
        <v>23</v>
      </c>
      <c r="G20" s="535"/>
      <c r="H20" s="586">
        <f>SUM(H21:H30)</f>
        <v>23</v>
      </c>
      <c r="I20" s="593">
        <f>SUM(I21:I30)</f>
        <v>1.5</v>
      </c>
      <c r="J20" s="579">
        <f>SUM(J21:J30)</f>
        <v>23</v>
      </c>
    </row>
    <row r="21" spans="2:10" s="76" customFormat="1" ht="12">
      <c r="B21" s="537" t="s">
        <v>311</v>
      </c>
      <c r="C21" s="538"/>
      <c r="D21" s="587">
        <v>1</v>
      </c>
      <c r="E21" s="594"/>
      <c r="F21" s="536">
        <v>22</v>
      </c>
      <c r="G21" s="538"/>
      <c r="H21" s="587">
        <v>1</v>
      </c>
      <c r="I21" s="594"/>
      <c r="J21" s="536">
        <v>22</v>
      </c>
    </row>
    <row r="22" spans="2:10" s="76" customFormat="1" ht="12">
      <c r="B22" s="537" t="s">
        <v>313</v>
      </c>
      <c r="C22" s="538"/>
      <c r="D22" s="583">
        <v>5</v>
      </c>
      <c r="E22" s="590"/>
      <c r="F22" s="536"/>
      <c r="G22" s="538"/>
      <c r="H22" s="583">
        <v>5</v>
      </c>
      <c r="I22" s="590"/>
      <c r="J22" s="536"/>
    </row>
    <row r="23" spans="2:10" s="76" customFormat="1" ht="12">
      <c r="B23" s="1038" t="s">
        <v>315</v>
      </c>
      <c r="C23" s="538"/>
      <c r="D23" s="583">
        <v>4</v>
      </c>
      <c r="E23" s="590"/>
      <c r="F23" s="536">
        <v>1</v>
      </c>
      <c r="G23" s="538"/>
      <c r="H23" s="583">
        <v>4</v>
      </c>
      <c r="I23" s="590"/>
      <c r="J23" s="536">
        <v>1</v>
      </c>
    </row>
    <row r="24" spans="2:10" s="76" customFormat="1" ht="12">
      <c r="B24" s="537" t="s">
        <v>314</v>
      </c>
      <c r="C24" s="538"/>
      <c r="D24" s="583">
        <v>3</v>
      </c>
      <c r="E24" s="590"/>
      <c r="F24" s="536"/>
      <c r="G24" s="538"/>
      <c r="H24" s="583">
        <v>3</v>
      </c>
      <c r="I24" s="590"/>
      <c r="J24" s="536"/>
    </row>
    <row r="25" spans="2:10" s="76" customFormat="1" ht="12">
      <c r="B25" s="537" t="s">
        <v>128</v>
      </c>
      <c r="C25" s="538"/>
      <c r="D25" s="583">
        <v>2</v>
      </c>
      <c r="E25" s="590">
        <v>0.5</v>
      </c>
      <c r="F25" s="536"/>
      <c r="G25" s="538"/>
      <c r="H25" s="583">
        <v>2</v>
      </c>
      <c r="I25" s="590">
        <v>0.5</v>
      </c>
      <c r="J25" s="536"/>
    </row>
    <row r="26" spans="2:10" s="76" customFormat="1" ht="12">
      <c r="B26" s="537" t="s">
        <v>317</v>
      </c>
      <c r="C26" s="538"/>
      <c r="D26" s="583">
        <v>1</v>
      </c>
      <c r="E26" s="590"/>
      <c r="F26" s="536"/>
      <c r="G26" s="538"/>
      <c r="H26" s="583">
        <v>1</v>
      </c>
      <c r="I26" s="590"/>
      <c r="J26" s="536"/>
    </row>
    <row r="27" spans="2:10" s="76" customFormat="1" ht="12" hidden="1" customHeight="1">
      <c r="B27" s="537" t="s">
        <v>542</v>
      </c>
      <c r="C27" s="538"/>
      <c r="D27" s="583"/>
      <c r="E27" s="590"/>
      <c r="F27" s="536"/>
      <c r="G27" s="538"/>
      <c r="H27" s="583"/>
      <c r="I27" s="590"/>
      <c r="J27" s="536"/>
    </row>
    <row r="28" spans="2:10" s="76" customFormat="1" ht="12">
      <c r="B28" s="537" t="s">
        <v>522</v>
      </c>
      <c r="C28" s="538" t="s">
        <v>382</v>
      </c>
      <c r="D28" s="583">
        <v>7</v>
      </c>
      <c r="E28" s="590"/>
      <c r="F28" s="539"/>
      <c r="G28" s="538" t="s">
        <v>382</v>
      </c>
      <c r="H28" s="583">
        <v>7</v>
      </c>
      <c r="I28" s="590"/>
      <c r="J28" s="539"/>
    </row>
    <row r="29" spans="2:10" s="76" customFormat="1" ht="12" customHeight="1">
      <c r="B29" s="537" t="s">
        <v>553</v>
      </c>
      <c r="C29" s="538" t="s">
        <v>385</v>
      </c>
      <c r="D29" s="583"/>
      <c r="E29" s="590"/>
      <c r="F29" s="539"/>
      <c r="G29" s="538"/>
      <c r="H29" s="583"/>
      <c r="I29" s="590">
        <v>1</v>
      </c>
      <c r="J29" s="539"/>
    </row>
    <row r="30" spans="2:10" s="76" customFormat="1" ht="12">
      <c r="B30" s="537"/>
      <c r="C30" s="538"/>
      <c r="D30" s="583"/>
      <c r="E30" s="590"/>
      <c r="F30" s="539"/>
      <c r="G30" s="538"/>
      <c r="H30" s="583"/>
      <c r="I30" s="590"/>
      <c r="J30" s="539"/>
    </row>
    <row r="31" spans="2:10" s="76" customFormat="1" ht="12">
      <c r="B31" s="537"/>
      <c r="C31" s="538"/>
      <c r="D31" s="583"/>
      <c r="E31" s="590"/>
      <c r="F31" s="539"/>
      <c r="G31" s="538"/>
      <c r="H31" s="583"/>
      <c r="I31" s="590"/>
      <c r="J31" s="539"/>
    </row>
    <row r="32" spans="2:10" s="8" customFormat="1" ht="12">
      <c r="B32" s="534" t="s">
        <v>230</v>
      </c>
      <c r="C32" s="535"/>
      <c r="D32" s="584">
        <v>76</v>
      </c>
      <c r="E32" s="591"/>
      <c r="F32" s="536">
        <v>3</v>
      </c>
      <c r="G32" s="535"/>
      <c r="H32" s="584">
        <v>76</v>
      </c>
      <c r="I32" s="591"/>
      <c r="J32" s="536">
        <v>3</v>
      </c>
    </row>
    <row r="33" spans="2:10" s="76" customFormat="1" ht="12">
      <c r="B33" s="537" t="s">
        <v>634</v>
      </c>
      <c r="C33" s="538"/>
      <c r="D33" s="583">
        <v>42</v>
      </c>
      <c r="E33" s="590"/>
      <c r="F33" s="539"/>
      <c r="G33" s="538"/>
      <c r="H33" s="583">
        <v>42</v>
      </c>
      <c r="I33" s="590"/>
      <c r="J33" s="539"/>
    </row>
    <row r="34" spans="2:10" s="76" customFormat="1" ht="12">
      <c r="B34" s="537" t="s">
        <v>635</v>
      </c>
      <c r="C34" s="538"/>
      <c r="D34" s="583">
        <v>16</v>
      </c>
      <c r="E34" s="590"/>
      <c r="F34" s="539">
        <v>1</v>
      </c>
      <c r="G34" s="538"/>
      <c r="H34" s="583">
        <v>16</v>
      </c>
      <c r="I34" s="590"/>
      <c r="J34" s="539">
        <v>1</v>
      </c>
    </row>
    <row r="35" spans="2:10" s="76" customFormat="1" ht="12">
      <c r="B35" s="537" t="s">
        <v>632</v>
      </c>
      <c r="C35" s="538"/>
      <c r="D35" s="583">
        <v>9</v>
      </c>
      <c r="E35" s="590"/>
      <c r="F35" s="539">
        <v>1</v>
      </c>
      <c r="G35" s="538"/>
      <c r="H35" s="583">
        <v>9</v>
      </c>
      <c r="I35" s="590"/>
      <c r="J35" s="539">
        <v>1</v>
      </c>
    </row>
    <row r="36" spans="2:10" s="76" customFormat="1" ht="12">
      <c r="B36" s="537" t="s">
        <v>552</v>
      </c>
      <c r="C36" s="538"/>
      <c r="D36" s="583">
        <v>2</v>
      </c>
      <c r="E36" s="590"/>
      <c r="F36" s="539"/>
      <c r="G36" s="538"/>
      <c r="H36" s="583">
        <v>2</v>
      </c>
      <c r="I36" s="590"/>
      <c r="J36" s="539"/>
    </row>
    <row r="37" spans="2:10" s="76" customFormat="1" ht="12">
      <c r="B37" s="537" t="s">
        <v>633</v>
      </c>
      <c r="C37" s="538"/>
      <c r="D37" s="583">
        <v>6</v>
      </c>
      <c r="E37" s="590"/>
      <c r="F37" s="539">
        <v>1</v>
      </c>
      <c r="G37" s="538"/>
      <c r="H37" s="583">
        <v>6</v>
      </c>
      <c r="I37" s="590"/>
      <c r="J37" s="539">
        <v>1</v>
      </c>
    </row>
    <row r="38" spans="2:10" s="76" customFormat="1" ht="12">
      <c r="B38" s="537"/>
      <c r="C38" s="538"/>
      <c r="D38" s="583"/>
      <c r="E38" s="590"/>
      <c r="F38" s="536"/>
      <c r="G38" s="538"/>
      <c r="H38" s="583"/>
      <c r="I38" s="590"/>
      <c r="J38" s="536"/>
    </row>
    <row r="39" spans="2:10" s="8" customFormat="1" ht="12">
      <c r="B39" s="544" t="s">
        <v>348</v>
      </c>
      <c r="C39" s="545"/>
      <c r="D39" s="588">
        <f>SUM(D40:D44)</f>
        <v>26</v>
      </c>
      <c r="E39" s="591">
        <f>SUM(E40:E44)</f>
        <v>0</v>
      </c>
      <c r="F39" s="546">
        <f>SUM(F40:F44)</f>
        <v>0</v>
      </c>
      <c r="G39" s="545"/>
      <c r="H39" s="588">
        <f>SUM(H40:H44)</f>
        <v>26</v>
      </c>
      <c r="I39" s="591">
        <f>SUM(I40:I44)</f>
        <v>0</v>
      </c>
      <c r="J39" s="546">
        <f>SUM(J40:J44)</f>
        <v>0</v>
      </c>
    </row>
    <row r="40" spans="2:10" s="76" customFormat="1" ht="12">
      <c r="B40" s="537" t="s">
        <v>314</v>
      </c>
      <c r="C40" s="538"/>
      <c r="D40" s="583">
        <v>5</v>
      </c>
      <c r="E40" s="590"/>
      <c r="F40" s="536"/>
      <c r="G40" s="538"/>
      <c r="H40" s="583">
        <v>5</v>
      </c>
      <c r="I40" s="590"/>
      <c r="J40" s="536"/>
    </row>
    <row r="41" spans="2:10" s="76" customFormat="1" ht="12">
      <c r="B41" s="537" t="s">
        <v>315</v>
      </c>
      <c r="C41" s="538"/>
      <c r="D41" s="583">
        <v>11</v>
      </c>
      <c r="E41" s="590"/>
      <c r="F41" s="536"/>
      <c r="G41" s="538"/>
      <c r="H41" s="583">
        <v>11</v>
      </c>
      <c r="I41" s="590"/>
      <c r="J41" s="536"/>
    </row>
    <row r="42" spans="2:10" s="76" customFormat="1" ht="12">
      <c r="B42" s="537" t="s">
        <v>316</v>
      </c>
      <c r="C42" s="538"/>
      <c r="D42" s="583">
        <v>1</v>
      </c>
      <c r="E42" s="590"/>
      <c r="F42" s="536"/>
      <c r="G42" s="538"/>
      <c r="H42" s="583">
        <v>1</v>
      </c>
      <c r="I42" s="590"/>
      <c r="J42" s="536"/>
    </row>
    <row r="43" spans="2:10" s="76" customFormat="1" ht="12">
      <c r="B43" s="537" t="s">
        <v>318</v>
      </c>
      <c r="C43" s="538"/>
      <c r="D43" s="583">
        <v>2</v>
      </c>
      <c r="E43" s="590"/>
      <c r="F43" s="536"/>
      <c r="G43" s="538"/>
      <c r="H43" s="583">
        <v>2</v>
      </c>
      <c r="I43" s="590"/>
      <c r="J43" s="536"/>
    </row>
    <row r="44" spans="2:10" s="76" customFormat="1" ht="12">
      <c r="B44" s="537" t="s">
        <v>312</v>
      </c>
      <c r="C44" s="538"/>
      <c r="D44" s="583">
        <v>7</v>
      </c>
      <c r="E44" s="590"/>
      <c r="F44" s="536"/>
      <c r="G44" s="538"/>
      <c r="H44" s="583">
        <v>7</v>
      </c>
      <c r="I44" s="590"/>
      <c r="J44" s="536"/>
    </row>
    <row r="45" spans="2:10" s="76" customFormat="1" thickBot="1">
      <c r="B45" s="547"/>
      <c r="C45" s="548"/>
      <c r="D45" s="585"/>
      <c r="E45" s="595"/>
      <c r="F45" s="549"/>
      <c r="G45" s="548"/>
      <c r="H45" s="585"/>
      <c r="I45" s="595"/>
      <c r="J45" s="549"/>
    </row>
    <row r="46" spans="2:10" s="76" customFormat="1" thickBot="1">
      <c r="B46" s="429" t="s">
        <v>87</v>
      </c>
      <c r="C46" s="430"/>
      <c r="D46" s="596">
        <f>D13+D15+D17+D20+D32+D39+D18</f>
        <v>203</v>
      </c>
      <c r="E46" s="596">
        <f>E13+E15+E17+E20+E32+E39+E18</f>
        <v>2.75</v>
      </c>
      <c r="F46" s="580">
        <f>F13+F15+F17+F20+F32+F39+F18</f>
        <v>30</v>
      </c>
      <c r="G46" s="430"/>
      <c r="H46" s="596">
        <f>H13+H15+H17+H20+H32+H39+H18</f>
        <v>203</v>
      </c>
      <c r="I46" s="596">
        <f>I13+I15+I17+I20+I32+I39+I18</f>
        <v>3.75</v>
      </c>
      <c r="J46" s="580">
        <f>J13+J15+J17+J20+J32+J39+J18</f>
        <v>30</v>
      </c>
    </row>
    <row r="47" spans="2:10" s="91" customFormat="1">
      <c r="B47" s="431"/>
      <c r="C47" s="431"/>
      <c r="G47" s="431"/>
    </row>
    <row r="48" spans="2:10" s="91" customFormat="1" ht="12.75" customHeight="1">
      <c r="B48" s="1222"/>
      <c r="C48" s="1222"/>
      <c r="D48" s="1222"/>
      <c r="E48" s="1222"/>
      <c r="F48" s="1222"/>
      <c r="G48" s="1041"/>
      <c r="H48" s="1041"/>
      <c r="I48" s="1041"/>
      <c r="J48" s="1041"/>
    </row>
    <row r="49" spans="2:10" s="91" customFormat="1" ht="6" customHeight="1">
      <c r="B49" s="432"/>
      <c r="C49" s="432"/>
      <c r="D49" s="432"/>
      <c r="E49" s="432"/>
      <c r="F49" s="432"/>
      <c r="G49" s="432"/>
      <c r="H49" s="432"/>
      <c r="I49" s="432"/>
      <c r="J49" s="432"/>
    </row>
    <row r="50" spans="2:10" s="91" customFormat="1">
      <c r="B50" s="1221" t="s">
        <v>621</v>
      </c>
      <c r="C50" s="1221"/>
      <c r="D50" s="1221"/>
      <c r="E50" s="1221"/>
      <c r="F50" s="1221"/>
      <c r="G50" s="432"/>
      <c r="H50" s="432"/>
      <c r="I50" s="432"/>
      <c r="J50" s="432"/>
    </row>
    <row r="51" spans="2:10" s="91" customFormat="1">
      <c r="B51" s="1221"/>
      <c r="C51" s="1221"/>
      <c r="D51" s="1221"/>
      <c r="E51" s="1221"/>
      <c r="F51" s="1221"/>
      <c r="G51" s="432"/>
      <c r="H51" s="432"/>
      <c r="I51" s="432"/>
      <c r="J51" s="432"/>
    </row>
    <row r="52" spans="2:10" s="91" customFormat="1" ht="6.75" customHeight="1">
      <c r="B52" s="432"/>
      <c r="C52" s="432"/>
      <c r="D52" s="432"/>
      <c r="E52" s="432"/>
      <c r="F52" s="432"/>
      <c r="G52" s="432"/>
      <c r="H52" s="432"/>
      <c r="I52" s="432"/>
      <c r="J52" s="432"/>
    </row>
    <row r="53" spans="2:10" s="91" customFormat="1">
      <c r="B53" s="1221" t="s">
        <v>790</v>
      </c>
      <c r="C53" s="1221"/>
      <c r="D53" s="1221"/>
      <c r="E53" s="1221"/>
      <c r="F53" s="1221"/>
      <c r="G53" s="432"/>
      <c r="H53" s="432"/>
      <c r="I53" s="432"/>
      <c r="J53" s="432"/>
    </row>
    <row r="54" spans="2:10" s="91" customFormat="1" ht="5.25" customHeight="1">
      <c r="B54" s="432"/>
      <c r="C54" s="432"/>
      <c r="D54" s="432"/>
      <c r="E54" s="432"/>
      <c r="F54" s="432"/>
      <c r="G54" s="432"/>
      <c r="H54" s="432"/>
      <c r="I54" s="432"/>
      <c r="J54" s="432"/>
    </row>
    <row r="55" spans="2:10" s="91" customFormat="1">
      <c r="B55" s="1221" t="s">
        <v>872</v>
      </c>
      <c r="C55" s="1221"/>
      <c r="D55" s="1221"/>
      <c r="E55" s="1221"/>
      <c r="F55" s="1221"/>
      <c r="G55" s="432"/>
      <c r="H55" s="432"/>
      <c r="I55" s="432"/>
      <c r="J55" s="432"/>
    </row>
    <row r="56" spans="2:10" s="91" customFormat="1" ht="27" customHeight="1">
      <c r="B56" s="499"/>
      <c r="C56" s="432"/>
      <c r="D56" s="432"/>
      <c r="E56" s="432"/>
      <c r="F56" s="432"/>
      <c r="G56" s="432"/>
      <c r="H56" s="432"/>
      <c r="I56" s="432"/>
      <c r="J56" s="432"/>
    </row>
    <row r="57" spans="2:10" s="91" customFormat="1">
      <c r="B57" s="1221"/>
      <c r="C57" s="1221"/>
      <c r="D57" s="1221"/>
      <c r="E57" s="1221"/>
      <c r="F57" s="1221"/>
      <c r="G57" s="432"/>
      <c r="H57" s="432"/>
      <c r="I57" s="432"/>
      <c r="J57" s="432"/>
    </row>
    <row r="58" spans="2:10">
      <c r="B58" s="91"/>
    </row>
    <row r="59" spans="2:10">
      <c r="B59" s="91"/>
    </row>
    <row r="61" spans="2:10">
      <c r="B61" s="91"/>
    </row>
  </sheetData>
  <mergeCells count="18">
    <mergeCell ref="B57:F57"/>
    <mergeCell ref="B48:F48"/>
    <mergeCell ref="B51:F51"/>
    <mergeCell ref="B50:F50"/>
    <mergeCell ref="B53:F53"/>
    <mergeCell ref="B5:F5"/>
    <mergeCell ref="B10:B12"/>
    <mergeCell ref="D10:E10"/>
    <mergeCell ref="F10:F12"/>
    <mergeCell ref="C11:C12"/>
    <mergeCell ref="H10:I10"/>
    <mergeCell ref="J10:J12"/>
    <mergeCell ref="G11:G12"/>
    <mergeCell ref="H11:H12"/>
    <mergeCell ref="I11:I12"/>
    <mergeCell ref="B55:F55"/>
    <mergeCell ref="E11:E12"/>
    <mergeCell ref="D11:D12"/>
  </mergeCells>
  <phoneticPr fontId="1" type="noConversion"/>
  <printOptions horizontalCentered="1"/>
  <pageMargins left="0.15748031496062992" right="0.35433070866141736" top="0.15748031496062992" bottom="0.39370078740157483" header="0.15748031496062992" footer="0.39370078740157483"/>
  <pageSetup paperSize="9" scale="80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6376-9D39-4E7C-80A8-CE3343850A3D}">
  <dimension ref="B1:F67"/>
  <sheetViews>
    <sheetView workbookViewId="0">
      <selection activeCell="D15" sqref="D15"/>
    </sheetView>
  </sheetViews>
  <sheetFormatPr defaultRowHeight="12.75"/>
  <cols>
    <col min="1" max="1" width="1.85546875" style="13" customWidth="1"/>
    <col min="2" max="2" width="42.7109375" style="13" bestFit="1" customWidth="1"/>
    <col min="3" max="3" width="14.7109375" style="13" customWidth="1"/>
    <col min="4" max="6" width="12.85546875" style="13" customWidth="1"/>
    <col min="7" max="16384" width="9.140625" style="13"/>
  </cols>
  <sheetData>
    <row r="1" spans="2:6">
      <c r="B1" s="12" t="s">
        <v>102</v>
      </c>
      <c r="C1" s="13" t="str">
        <f>'bev-int'!B1</f>
        <v>melléklet a …/2024. (.  .) önkormányzati rendelethez</v>
      </c>
    </row>
    <row r="2" spans="2:6">
      <c r="B2" s="12"/>
    </row>
    <row r="3" spans="2:6">
      <c r="B3" s="12"/>
    </row>
    <row r="4" spans="2:6" ht="33.75" customHeight="1">
      <c r="B4" s="1227" t="s">
        <v>361</v>
      </c>
      <c r="C4" s="1227"/>
      <c r="D4" s="1227"/>
      <c r="E4" s="1227"/>
      <c r="F4" s="1227"/>
    </row>
    <row r="5" spans="2:6">
      <c r="B5" s="1089"/>
      <c r="C5" s="1089"/>
      <c r="D5" s="1089"/>
      <c r="E5" s="1089"/>
    </row>
    <row r="6" spans="2:6">
      <c r="B6" s="93"/>
      <c r="C6" s="93"/>
      <c r="D6" s="93"/>
      <c r="E6" s="93"/>
      <c r="F6" s="93"/>
    </row>
    <row r="7" spans="2:6">
      <c r="B7" s="93"/>
      <c r="C7" s="93"/>
      <c r="D7" s="93"/>
      <c r="E7" s="93"/>
      <c r="F7" s="93"/>
    </row>
    <row r="8" spans="2:6" s="114" customFormat="1" thickBot="1">
      <c r="F8" s="114" t="s">
        <v>72</v>
      </c>
    </row>
    <row r="9" spans="2:6" s="114" customFormat="1" ht="60.75" customHeight="1" thickBot="1">
      <c r="B9" s="145" t="s">
        <v>55</v>
      </c>
      <c r="C9" s="146" t="s">
        <v>564</v>
      </c>
      <c r="D9" s="146" t="s">
        <v>624</v>
      </c>
      <c r="E9" s="146" t="s">
        <v>643</v>
      </c>
      <c r="F9" s="146" t="s">
        <v>789</v>
      </c>
    </row>
    <row r="10" spans="2:6" s="114" customFormat="1" ht="12">
      <c r="B10" s="147" t="s">
        <v>295</v>
      </c>
      <c r="C10" s="867">
        <f>(b_k_ré!J32+b_k_ré!J35+b_k_ré!J38+b_k_ré!J41)/1000</f>
        <v>393500</v>
      </c>
      <c r="D10" s="867">
        <v>430000</v>
      </c>
      <c r="E10" s="868">
        <v>430000</v>
      </c>
      <c r="F10" s="868">
        <v>430000</v>
      </c>
    </row>
    <row r="11" spans="2:6" s="114" customFormat="1" ht="12">
      <c r="B11" s="148" t="s">
        <v>296</v>
      </c>
      <c r="C11" s="869">
        <f>b_k_ré!D65</f>
        <v>0</v>
      </c>
      <c r="D11" s="869">
        <v>2000</v>
      </c>
      <c r="E11" s="870">
        <v>2000</v>
      </c>
      <c r="F11" s="870">
        <v>2000</v>
      </c>
    </row>
    <row r="12" spans="2:6" s="114" customFormat="1" ht="12">
      <c r="B12" s="148" t="s">
        <v>297</v>
      </c>
      <c r="C12" s="869">
        <f>b_k_ré!J46/1000</f>
        <v>1000</v>
      </c>
      <c r="D12" s="869">
        <v>1200</v>
      </c>
      <c r="E12" s="870">
        <v>1200</v>
      </c>
      <c r="F12" s="870">
        <v>1100</v>
      </c>
    </row>
    <row r="13" spans="2:6" s="114" customFormat="1" ht="12">
      <c r="B13" s="149" t="s">
        <v>298</v>
      </c>
      <c r="C13" s="871">
        <f>b_k_ré!J45/1000</f>
        <v>1000</v>
      </c>
      <c r="D13" s="871">
        <v>1000</v>
      </c>
      <c r="E13" s="872">
        <v>950</v>
      </c>
      <c r="F13" s="872">
        <v>900</v>
      </c>
    </row>
    <row r="14" spans="2:6" s="114" customFormat="1" ht="30.75" customHeight="1">
      <c r="B14" s="149" t="s">
        <v>299</v>
      </c>
      <c r="C14" s="871">
        <f>b_k_ré!D55/1000</f>
        <v>79939.570999999996</v>
      </c>
      <c r="D14" s="871">
        <v>80500</v>
      </c>
      <c r="E14" s="872">
        <v>81000</v>
      </c>
      <c r="F14" s="872">
        <v>82000</v>
      </c>
    </row>
    <row r="15" spans="2:6" s="114" customFormat="1" ht="31.5" customHeight="1">
      <c r="B15" s="149" t="s">
        <v>300</v>
      </c>
      <c r="C15" s="871">
        <f>b_k_ré!D59/1000</f>
        <v>39440.004000000001</v>
      </c>
      <c r="D15" s="871">
        <v>26250</v>
      </c>
      <c r="E15" s="872">
        <v>27400</v>
      </c>
      <c r="F15" s="872">
        <v>28000</v>
      </c>
    </row>
    <row r="16" spans="2:6" s="114" customFormat="1" ht="60" customHeight="1">
      <c r="B16" s="148" t="s">
        <v>302</v>
      </c>
      <c r="C16" s="869">
        <f>b_k_ré!D75</f>
        <v>0</v>
      </c>
      <c r="D16" s="869">
        <v>0</v>
      </c>
      <c r="E16" s="870">
        <v>0</v>
      </c>
      <c r="F16" s="870">
        <v>0</v>
      </c>
    </row>
    <row r="17" spans="2:6" s="114" customFormat="1" ht="12">
      <c r="B17" s="148" t="s">
        <v>303</v>
      </c>
      <c r="C17" s="869">
        <f>SUM(C10:C16)</f>
        <v>514879.57500000001</v>
      </c>
      <c r="D17" s="869">
        <f>SUM(D10:D16)</f>
        <v>540950</v>
      </c>
      <c r="E17" s="870">
        <f>SUM(E10:E16)</f>
        <v>542550</v>
      </c>
      <c r="F17" s="870">
        <f>SUM(F10:F16)</f>
        <v>544000</v>
      </c>
    </row>
    <row r="18" spans="2:6" s="114" customFormat="1" ht="12">
      <c r="B18" s="148" t="s">
        <v>304</v>
      </c>
      <c r="C18" s="869">
        <f>C17/2</f>
        <v>257439.78750000001</v>
      </c>
      <c r="D18" s="869">
        <f>D17/2</f>
        <v>270475</v>
      </c>
      <c r="E18" s="870">
        <f>E17/2</f>
        <v>271275</v>
      </c>
      <c r="F18" s="870">
        <f>F17/2</f>
        <v>272000</v>
      </c>
    </row>
    <row r="19" spans="2:6" s="114" customFormat="1" ht="33" customHeight="1">
      <c r="B19" s="148" t="s">
        <v>305</v>
      </c>
      <c r="C19" s="869">
        <v>0</v>
      </c>
      <c r="D19" s="869">
        <v>0</v>
      </c>
      <c r="E19" s="870">
        <v>0</v>
      </c>
      <c r="F19" s="870">
        <v>0</v>
      </c>
    </row>
    <row r="20" spans="2:6" s="114" customFormat="1" ht="24">
      <c r="B20" s="149" t="s">
        <v>306</v>
      </c>
      <c r="C20" s="869">
        <v>0</v>
      </c>
      <c r="D20" s="869">
        <v>0</v>
      </c>
      <c r="E20" s="870">
        <v>0</v>
      </c>
      <c r="F20" s="870">
        <v>0</v>
      </c>
    </row>
    <row r="21" spans="2:6" s="114" customFormat="1" ht="30.75" customHeight="1" thickBot="1">
      <c r="B21" s="150" t="s">
        <v>307</v>
      </c>
      <c r="C21" s="873">
        <v>0</v>
      </c>
      <c r="D21" s="873">
        <v>0</v>
      </c>
      <c r="E21" s="874">
        <v>0</v>
      </c>
      <c r="F21" s="874">
        <v>0</v>
      </c>
    </row>
    <row r="22" spans="2:6" s="114" customFormat="1" ht="27.75" customHeight="1" thickBot="1">
      <c r="B22" s="152" t="s">
        <v>308</v>
      </c>
      <c r="C22" s="875">
        <v>0</v>
      </c>
      <c r="D22" s="875">
        <f>D19+D21</f>
        <v>0</v>
      </c>
      <c r="E22" s="876">
        <f>E19+E21</f>
        <v>0</v>
      </c>
      <c r="F22" s="876">
        <f>F19+F21</f>
        <v>0</v>
      </c>
    </row>
    <row r="23" spans="2:6" s="114" customFormat="1" ht="24.75" thickBot="1">
      <c r="B23" s="151" t="s">
        <v>309</v>
      </c>
      <c r="C23" s="877">
        <f>C18-C22</f>
        <v>257439.78750000001</v>
      </c>
      <c r="D23" s="877">
        <f>D18-D22</f>
        <v>270475</v>
      </c>
      <c r="E23" s="878">
        <f>E18-E22</f>
        <v>271275</v>
      </c>
      <c r="F23" s="878">
        <f>F18-F22</f>
        <v>272000</v>
      </c>
    </row>
    <row r="24" spans="2:6" s="76" customFormat="1" ht="12">
      <c r="C24" s="178"/>
      <c r="D24" s="178"/>
      <c r="E24" s="178"/>
      <c r="F24" s="178"/>
    </row>
    <row r="25" spans="2:6" s="76" customFormat="1" ht="12">
      <c r="C25" s="178"/>
      <c r="D25" s="178"/>
      <c r="E25" s="178"/>
      <c r="F25" s="178"/>
    </row>
    <row r="26" spans="2:6" s="76" customFormat="1" ht="12"/>
    <row r="27" spans="2:6" s="76" customFormat="1" ht="12"/>
    <row r="28" spans="2:6" s="76" customFormat="1" ht="12"/>
    <row r="29" spans="2:6" s="76" customFormat="1" ht="12"/>
    <row r="30" spans="2:6" s="76" customFormat="1" ht="12"/>
    <row r="31" spans="2:6" s="76" customFormat="1" ht="12"/>
    <row r="32" spans="2:6" s="76" customFormat="1" ht="12"/>
    <row r="33" s="76" customFormat="1" ht="12"/>
    <row r="34" s="76" customFormat="1" ht="12"/>
    <row r="35" s="76" customFormat="1" ht="12"/>
    <row r="36" s="76" customFormat="1" ht="12"/>
    <row r="37" s="76" customFormat="1" ht="12"/>
    <row r="38" s="76" customFormat="1" ht="12"/>
    <row r="39" s="76" customFormat="1" ht="12"/>
    <row r="40" s="76" customFormat="1" ht="12"/>
    <row r="41" s="76" customFormat="1" ht="12"/>
    <row r="42" s="76" customFormat="1" ht="12"/>
    <row r="43" s="76" customFormat="1" ht="12"/>
    <row r="44" s="76" customFormat="1" ht="12"/>
    <row r="45" s="76" customFormat="1" ht="12"/>
    <row r="46" s="76" customFormat="1" ht="12"/>
    <row r="47" s="76" customFormat="1" ht="12"/>
    <row r="48" s="76" customFormat="1" ht="12"/>
    <row r="49" s="76" customFormat="1" ht="12"/>
    <row r="50" s="76" customFormat="1" ht="12"/>
    <row r="51" s="76" customFormat="1" ht="12"/>
    <row r="52" s="76" customFormat="1" ht="12"/>
    <row r="53" s="76" customFormat="1" ht="12"/>
    <row r="54" s="76" customFormat="1" ht="12"/>
    <row r="55" s="76" customFormat="1" ht="12"/>
    <row r="56" s="76" customFormat="1" ht="12"/>
    <row r="57" s="76" customFormat="1" ht="12"/>
    <row r="58" s="76" customFormat="1" ht="12"/>
    <row r="59" s="76" customFormat="1" ht="12"/>
    <row r="60" s="76" customFormat="1" ht="12"/>
    <row r="61" s="76" customFormat="1" ht="12"/>
    <row r="62" s="76" customFormat="1" ht="12"/>
    <row r="63" s="76" customFormat="1" ht="12"/>
    <row r="64" s="76" customFormat="1" ht="12"/>
    <row r="65" s="76" customFormat="1" ht="12"/>
    <row r="66" s="76" customFormat="1" ht="12"/>
    <row r="67" s="76" customFormat="1" ht="12"/>
  </sheetData>
  <mergeCells count="2">
    <mergeCell ref="B5:E5"/>
    <mergeCell ref="B4:F4"/>
  </mergeCells>
  <phoneticPr fontId="1" type="noConversion"/>
  <printOptions horizontalCentered="1"/>
  <pageMargins left="0.17" right="0.4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2B3B-E024-4D2E-857B-47234A50F5B6}">
  <dimension ref="A1:H28"/>
  <sheetViews>
    <sheetView workbookViewId="0">
      <selection activeCell="D12" sqref="D12"/>
    </sheetView>
  </sheetViews>
  <sheetFormatPr defaultRowHeight="12.75"/>
  <cols>
    <col min="1" max="1" width="34.28515625" style="2" customWidth="1"/>
    <col min="2" max="2" width="15.7109375" style="2" customWidth="1"/>
    <col min="3" max="3" width="34.28515625" style="2" customWidth="1"/>
    <col min="4" max="5" width="15.7109375" style="2" customWidth="1"/>
    <col min="6" max="16384" width="9.140625" style="2"/>
  </cols>
  <sheetData>
    <row r="1" spans="1:8">
      <c r="A1" s="1" t="s">
        <v>103</v>
      </c>
      <c r="B1" s="2" t="str">
        <f>'bev-int'!B1</f>
        <v>melléklet a …/2024. (.  .) önkormányzati rendelethez</v>
      </c>
    </row>
    <row r="3" spans="1:8">
      <c r="A3" s="1093"/>
      <c r="B3" s="1093"/>
      <c r="C3" s="1093"/>
    </row>
    <row r="4" spans="1:8">
      <c r="A4" s="98"/>
      <c r="B4" s="98"/>
      <c r="C4" s="98"/>
    </row>
    <row r="5" spans="1:8">
      <c r="A5" s="1093" t="s">
        <v>796</v>
      </c>
      <c r="B5" s="1093"/>
      <c r="C5" s="1093"/>
      <c r="D5" s="1093"/>
      <c r="E5" s="1093"/>
    </row>
    <row r="6" spans="1:8">
      <c r="A6" s="1093"/>
      <c r="B6" s="1093"/>
      <c r="C6" s="1093"/>
    </row>
    <row r="8" spans="1:8">
      <c r="E8" s="560" t="s">
        <v>641</v>
      </c>
    </row>
    <row r="9" spans="1:8" ht="26.25" customHeight="1">
      <c r="A9" s="101" t="s">
        <v>55</v>
      </c>
      <c r="B9" s="101" t="s">
        <v>80</v>
      </c>
      <c r="C9" s="101" t="s">
        <v>55</v>
      </c>
      <c r="D9" s="101" t="s">
        <v>80</v>
      </c>
      <c r="E9" s="101" t="s">
        <v>79</v>
      </c>
    </row>
    <row r="10" spans="1:8" ht="13.5" customHeight="1">
      <c r="A10" s="101"/>
      <c r="B10" s="101"/>
      <c r="C10" s="101"/>
      <c r="D10" s="101"/>
      <c r="E10" s="101"/>
    </row>
    <row r="11" spans="1:8">
      <c r="A11" s="102" t="s">
        <v>61</v>
      </c>
      <c r="B11" s="102">
        <f>'bev-int'!C31</f>
        <v>3798544403.1999998</v>
      </c>
      <c r="C11" s="102" t="s">
        <v>66</v>
      </c>
      <c r="D11" s="102">
        <f>'kiad-int'!C22</f>
        <v>6823077394</v>
      </c>
      <c r="E11" s="102"/>
    </row>
    <row r="12" spans="1:8">
      <c r="A12" s="102"/>
      <c r="B12" s="102"/>
      <c r="C12" s="102"/>
      <c r="D12" s="102"/>
      <c r="E12" s="102"/>
    </row>
    <row r="13" spans="1:8">
      <c r="A13" s="1228" t="s">
        <v>88</v>
      </c>
      <c r="B13" s="1228"/>
      <c r="C13" s="1228"/>
      <c r="D13" s="1228"/>
      <c r="E13" s="102">
        <f>B11-D11</f>
        <v>-3024532990.8000002</v>
      </c>
    </row>
    <row r="14" spans="1:8">
      <c r="A14" s="102"/>
      <c r="B14" s="102"/>
      <c r="C14" s="102"/>
      <c r="D14" s="102"/>
      <c r="E14" s="102"/>
    </row>
    <row r="15" spans="1:8" s="18" customFormat="1">
      <c r="A15" s="102" t="s">
        <v>81</v>
      </c>
      <c r="B15" s="102">
        <f>'bev-int'!C42</f>
        <v>4454268909</v>
      </c>
      <c r="C15" s="102" t="s">
        <v>77</v>
      </c>
      <c r="D15" s="102">
        <f>'kiad-int'!C32</f>
        <v>1429735918</v>
      </c>
      <c r="E15" s="102"/>
      <c r="F15" s="21"/>
      <c r="G15" s="21"/>
      <c r="H15" s="21"/>
    </row>
    <row r="16" spans="1:8">
      <c r="A16" s="102"/>
      <c r="B16" s="102"/>
      <c r="C16" s="102"/>
      <c r="D16" s="102"/>
      <c r="E16" s="102"/>
      <c r="F16" s="19"/>
      <c r="G16" s="19"/>
      <c r="H16" s="19"/>
    </row>
    <row r="17" spans="1:8" s="18" customFormat="1">
      <c r="A17" s="102"/>
      <c r="B17" s="102"/>
      <c r="C17" s="1230" t="s">
        <v>89</v>
      </c>
      <c r="D17" s="1231"/>
      <c r="E17" s="102">
        <f>B15-D15</f>
        <v>3024532991</v>
      </c>
      <c r="F17" s="21"/>
      <c r="G17" s="21"/>
      <c r="H17" s="21"/>
    </row>
    <row r="18" spans="1:8" s="18" customFormat="1">
      <c r="A18" s="102"/>
      <c r="B18" s="102"/>
      <c r="C18" s="103"/>
      <c r="D18" s="104"/>
      <c r="E18" s="102"/>
      <c r="F18" s="21"/>
      <c r="G18" s="21"/>
      <c r="H18" s="21"/>
    </row>
    <row r="19" spans="1:8">
      <c r="A19" s="102" t="s">
        <v>90</v>
      </c>
      <c r="B19" s="102">
        <f>'bev-int'!C43</f>
        <v>8252813312.1999998</v>
      </c>
      <c r="C19" s="102" t="s">
        <v>83</v>
      </c>
      <c r="D19" s="102">
        <f>'kiad-int'!C33</f>
        <v>8252813312</v>
      </c>
      <c r="E19" s="102"/>
      <c r="F19" s="19"/>
      <c r="G19" s="19"/>
      <c r="H19" s="19"/>
    </row>
    <row r="20" spans="1:8">
      <c r="A20" s="102"/>
      <c r="B20" s="102"/>
      <c r="C20" s="102"/>
      <c r="D20" s="179"/>
      <c r="E20" s="102"/>
      <c r="F20" s="19"/>
      <c r="G20" s="19"/>
      <c r="H20" s="19"/>
    </row>
    <row r="21" spans="1:8">
      <c r="A21" s="1229" t="s">
        <v>79</v>
      </c>
      <c r="B21" s="1229"/>
      <c r="C21" s="1229"/>
      <c r="D21" s="1229"/>
      <c r="E21" s="102">
        <f>B19-D19</f>
        <v>0.19999980926513672</v>
      </c>
      <c r="F21" s="19"/>
      <c r="G21" s="19"/>
      <c r="H21" s="19"/>
    </row>
    <row r="22" spans="1:8">
      <c r="A22" s="105"/>
      <c r="B22" s="105"/>
      <c r="C22" s="105"/>
      <c r="D22" s="105"/>
      <c r="E22" s="105"/>
      <c r="F22" s="19"/>
      <c r="G22" s="19"/>
      <c r="H22" s="19"/>
    </row>
    <row r="23" spans="1:8">
      <c r="B23" s="3"/>
      <c r="C23" s="3"/>
      <c r="D23" s="20"/>
      <c r="E23" s="19"/>
      <c r="F23" s="19"/>
      <c r="G23" s="19"/>
      <c r="H23" s="19"/>
    </row>
    <row r="24" spans="1:8">
      <c r="D24" s="21"/>
      <c r="E24" s="19"/>
      <c r="F24" s="19"/>
      <c r="G24" s="19"/>
      <c r="H24" s="19"/>
    </row>
    <row r="25" spans="1:8">
      <c r="D25" s="19"/>
      <c r="E25" s="19"/>
      <c r="F25" s="19"/>
      <c r="G25" s="19"/>
      <c r="H25" s="19"/>
    </row>
    <row r="26" spans="1:8">
      <c r="D26" s="21"/>
      <c r="E26" s="21"/>
      <c r="F26" s="21"/>
      <c r="G26" s="21"/>
      <c r="H26" s="19"/>
    </row>
    <row r="27" spans="1:8">
      <c r="D27" s="21"/>
      <c r="E27" s="21"/>
      <c r="F27" s="21"/>
      <c r="G27" s="21"/>
      <c r="H27" s="19"/>
    </row>
    <row r="28" spans="1:8">
      <c r="D28" s="19"/>
      <c r="E28" s="19"/>
      <c r="F28" s="19"/>
      <c r="G28" s="19"/>
      <c r="H28" s="19"/>
    </row>
  </sheetData>
  <mergeCells count="6">
    <mergeCell ref="A13:D13"/>
    <mergeCell ref="A21:D21"/>
    <mergeCell ref="A3:C3"/>
    <mergeCell ref="A6:C6"/>
    <mergeCell ref="C17:D17"/>
    <mergeCell ref="A5:E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110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560F-13D7-4CDC-9970-565AE6DCB9BE}">
  <dimension ref="A1:L156"/>
  <sheetViews>
    <sheetView workbookViewId="0">
      <selection activeCell="I81" sqref="I81"/>
    </sheetView>
  </sheetViews>
  <sheetFormatPr defaultRowHeight="12"/>
  <cols>
    <col min="1" max="1" width="50.140625" style="5" bestFit="1" customWidth="1"/>
    <col min="2" max="2" width="9.85546875" style="5" hidden="1" customWidth="1"/>
    <col min="3" max="3" width="11.42578125" style="5" customWidth="1"/>
    <col min="4" max="4" width="11.5703125" style="5" customWidth="1"/>
    <col min="5" max="5" width="9.5703125" style="5" bestFit="1" customWidth="1"/>
    <col min="6" max="6" width="9.7109375" style="5" customWidth="1"/>
    <col min="7" max="7" width="9.28515625" style="5" bestFit="1" customWidth="1"/>
    <col min="8" max="8" width="10.28515625" style="5" customWidth="1"/>
    <col min="9" max="9" width="9.5703125" style="5" bestFit="1" customWidth="1"/>
    <col min="10" max="10" width="12.5703125" style="5" bestFit="1" customWidth="1"/>
    <col min="11" max="11" width="9.140625" style="5"/>
    <col min="12" max="12" width="10.140625" style="5" bestFit="1" customWidth="1"/>
    <col min="13" max="16384" width="9.140625" style="5"/>
  </cols>
  <sheetData>
    <row r="1" spans="1:12" ht="15" customHeight="1">
      <c r="A1" s="155"/>
      <c r="C1" s="155" t="s">
        <v>322</v>
      </c>
      <c r="D1" s="5" t="str">
        <f>'bev-int'!B1</f>
        <v>melléklet a …/2024. (.  .) önkormányzati rendelethez</v>
      </c>
    </row>
    <row r="2" spans="1:12" ht="9" customHeight="1">
      <c r="A2" s="155"/>
    </row>
    <row r="3" spans="1:12" ht="16.5" customHeight="1">
      <c r="A3" s="1111" t="s">
        <v>692</v>
      </c>
      <c r="B3" s="1111"/>
      <c r="C3" s="1111"/>
      <c r="D3" s="1111"/>
      <c r="E3" s="1111"/>
      <c r="F3" s="1111"/>
      <c r="G3" s="1111"/>
      <c r="H3" s="1111"/>
      <c r="I3" s="1111"/>
      <c r="J3" s="1111"/>
    </row>
    <row r="4" spans="1:12" ht="16.5" customHeight="1" thickBot="1">
      <c r="J4" s="76" t="s">
        <v>641</v>
      </c>
    </row>
    <row r="5" spans="1:12" ht="48.75" thickBot="1">
      <c r="A5" s="190" t="s">
        <v>55</v>
      </c>
      <c r="B5" s="128"/>
      <c r="C5" s="128" t="str">
        <f>'bev-int'!B7</f>
        <v>2024. évi eredeti terv</v>
      </c>
      <c r="D5" s="128" t="str">
        <f>'bev-int'!C7</f>
        <v>2024. évi módosított terv</v>
      </c>
      <c r="E5" s="127" t="str">
        <f>'bev-int'!D7</f>
        <v>Kisbéri Közös Önk-i Hivatal</v>
      </c>
      <c r="F5" s="127" t="s">
        <v>334</v>
      </c>
      <c r="G5" s="125" t="str">
        <f>'bev-int'!F7</f>
        <v>Wass A. Műv. K.</v>
      </c>
      <c r="H5" s="125" t="str">
        <f>'bev-int'!G7</f>
        <v>Kisbéri Gyöngyszem Óvoda és Bölcsőde</v>
      </c>
      <c r="I5" s="125" t="s">
        <v>230</v>
      </c>
      <c r="J5" s="126" t="str">
        <f>'bev-int'!I7</f>
        <v>Önkormányzat</v>
      </c>
    </row>
    <row r="6" spans="1:12">
      <c r="A6" s="191" t="s">
        <v>205</v>
      </c>
      <c r="B6" s="169"/>
      <c r="C6" s="879">
        <v>227010690</v>
      </c>
      <c r="D6" s="907">
        <f>SUM(E6:J6)</f>
        <v>227860690</v>
      </c>
      <c r="E6" s="908"/>
      <c r="F6" s="908"/>
      <c r="G6" s="909"/>
      <c r="H6" s="909"/>
      <c r="I6" s="909"/>
      <c r="J6" s="879">
        <f>'Áll.hj.'!H16</f>
        <v>227860690</v>
      </c>
      <c r="L6" s="987"/>
    </row>
    <row r="7" spans="1:12">
      <c r="A7" s="203" t="s">
        <v>537</v>
      </c>
      <c r="B7" s="170"/>
      <c r="C7" s="880">
        <v>219217458</v>
      </c>
      <c r="D7" s="885">
        <f t="shared" ref="D7:D65" si="0">SUM(E7:J7)</f>
        <v>220054658.19999999</v>
      </c>
      <c r="E7" s="910"/>
      <c r="F7" s="910"/>
      <c r="G7" s="911"/>
      <c r="H7" s="911"/>
      <c r="I7" s="911"/>
      <c r="J7" s="880">
        <f>'Áll.hj.'!H22</f>
        <v>220054658.19999999</v>
      </c>
      <c r="L7" s="987"/>
    </row>
    <row r="8" spans="1:12">
      <c r="A8" s="203" t="s">
        <v>538</v>
      </c>
      <c r="B8" s="170"/>
      <c r="C8" s="880">
        <v>666817463</v>
      </c>
      <c r="D8" s="885">
        <f t="shared" si="0"/>
        <v>727586684</v>
      </c>
      <c r="E8" s="910"/>
      <c r="F8" s="910"/>
      <c r="G8" s="911"/>
      <c r="H8" s="911"/>
      <c r="I8" s="911"/>
      <c r="J8" s="880">
        <f>'Áll.hj.'!H37+'Áll.hj.'!H51+'Áll.hj.'!H52</f>
        <v>727586684</v>
      </c>
      <c r="K8" s="177"/>
      <c r="L8" s="987"/>
    </row>
    <row r="9" spans="1:12">
      <c r="A9" s="203" t="s">
        <v>536</v>
      </c>
      <c r="B9" s="170"/>
      <c r="C9" s="880">
        <v>82901083</v>
      </c>
      <c r="D9" s="885">
        <f t="shared" si="0"/>
        <v>79913049</v>
      </c>
      <c r="E9" s="910"/>
      <c r="F9" s="910"/>
      <c r="G9" s="911"/>
      <c r="H9" s="911"/>
      <c r="I9" s="911"/>
      <c r="J9" s="880">
        <f>'Áll.hj.'!H42</f>
        <v>79913049</v>
      </c>
      <c r="K9" s="177"/>
      <c r="L9" s="987"/>
    </row>
    <row r="10" spans="1:12">
      <c r="A10" s="203" t="s">
        <v>539</v>
      </c>
      <c r="B10" s="170"/>
      <c r="C10" s="880">
        <v>17226157</v>
      </c>
      <c r="D10" s="885">
        <f t="shared" si="0"/>
        <v>18530629</v>
      </c>
      <c r="E10" s="910"/>
      <c r="F10" s="910"/>
      <c r="G10" s="911"/>
      <c r="H10" s="911"/>
      <c r="I10" s="911"/>
      <c r="J10" s="880">
        <f>'Áll.hj.'!H47</f>
        <v>18530629</v>
      </c>
      <c r="K10" s="177"/>
      <c r="L10" s="987"/>
    </row>
    <row r="11" spans="1:12">
      <c r="A11" s="203" t="s">
        <v>850</v>
      </c>
      <c r="B11" s="170"/>
      <c r="C11" s="880"/>
      <c r="D11" s="885">
        <f t="shared" si="0"/>
        <v>13015000</v>
      </c>
      <c r="E11" s="910"/>
      <c r="F11" s="910"/>
      <c r="G11" s="911"/>
      <c r="H11" s="911"/>
      <c r="I11" s="911"/>
      <c r="J11" s="880">
        <f>'Áll.hj.'!H53</f>
        <v>13015000</v>
      </c>
      <c r="K11" s="177"/>
      <c r="L11" s="987"/>
    </row>
    <row r="12" spans="1:12" ht="12.75" thickBot="1">
      <c r="A12" s="193"/>
      <c r="B12" s="171"/>
      <c r="C12" s="881">
        <v>0</v>
      </c>
      <c r="D12" s="887">
        <f t="shared" si="0"/>
        <v>0</v>
      </c>
      <c r="E12" s="912"/>
      <c r="F12" s="912"/>
      <c r="G12" s="913"/>
      <c r="H12" s="913"/>
      <c r="I12" s="913"/>
      <c r="J12" s="881"/>
      <c r="K12" s="177"/>
      <c r="L12" s="987"/>
    </row>
    <row r="13" spans="1:12" s="22" customFormat="1" ht="12.75" thickBot="1">
      <c r="A13" s="194" t="s">
        <v>175</v>
      </c>
      <c r="B13" s="182">
        <f t="shared" ref="B13:I13" si="1">SUM(B6:B12)</f>
        <v>0</v>
      </c>
      <c r="C13" s="882">
        <f>SUM(C6:C12)</f>
        <v>1213172851</v>
      </c>
      <c r="D13" s="882">
        <f t="shared" si="0"/>
        <v>1286960710.2</v>
      </c>
      <c r="E13" s="914">
        <f t="shared" si="1"/>
        <v>0</v>
      </c>
      <c r="F13" s="914">
        <f t="shared" si="1"/>
        <v>0</v>
      </c>
      <c r="G13" s="915">
        <f t="shared" si="1"/>
        <v>0</v>
      </c>
      <c r="H13" s="915">
        <f t="shared" si="1"/>
        <v>0</v>
      </c>
      <c r="I13" s="915">
        <f t="shared" si="1"/>
        <v>0</v>
      </c>
      <c r="J13" s="916">
        <f>SUM(J6:J12)</f>
        <v>1286960710.2</v>
      </c>
      <c r="L13" s="987"/>
    </row>
    <row r="14" spans="1:12" s="22" customFormat="1" ht="12.75" thickBot="1">
      <c r="A14" s="194" t="s">
        <v>451</v>
      </c>
      <c r="B14" s="182"/>
      <c r="C14" s="882">
        <v>0</v>
      </c>
      <c r="D14" s="882">
        <f>SUM(E14:J14)</f>
        <v>0</v>
      </c>
      <c r="E14" s="914"/>
      <c r="F14" s="914"/>
      <c r="G14" s="915"/>
      <c r="H14" s="915"/>
      <c r="I14" s="915"/>
      <c r="J14" s="916"/>
    </row>
    <row r="15" spans="1:12" s="23" customFormat="1" ht="12.75" thickBot="1">
      <c r="A15" s="194" t="s">
        <v>258</v>
      </c>
      <c r="B15" s="182">
        <v>0</v>
      </c>
      <c r="C15" s="882">
        <v>0</v>
      </c>
      <c r="D15" s="882">
        <f>SUM(E15:J15)</f>
        <v>0</v>
      </c>
      <c r="E15" s="914"/>
      <c r="F15" s="914"/>
      <c r="G15" s="915"/>
      <c r="H15" s="915"/>
      <c r="I15" s="915"/>
      <c r="J15" s="916"/>
    </row>
    <row r="16" spans="1:12">
      <c r="A16" s="296" t="s">
        <v>498</v>
      </c>
      <c r="B16" s="172"/>
      <c r="C16" s="883">
        <v>2064765</v>
      </c>
      <c r="D16" s="886">
        <f t="shared" si="0"/>
        <v>7965041</v>
      </c>
      <c r="E16" s="917"/>
      <c r="F16" s="917"/>
      <c r="G16" s="918"/>
      <c r="H16" s="918"/>
      <c r="I16" s="918"/>
      <c r="J16" s="883">
        <f>2064765+5900276</f>
        <v>7965041</v>
      </c>
    </row>
    <row r="17" spans="1:12">
      <c r="A17" s="192" t="s">
        <v>262</v>
      </c>
      <c r="B17" s="170"/>
      <c r="C17" s="884">
        <v>3000000</v>
      </c>
      <c r="D17" s="885">
        <f t="shared" si="0"/>
        <v>3000000</v>
      </c>
      <c r="E17" s="910"/>
      <c r="F17" s="910"/>
      <c r="G17" s="911"/>
      <c r="H17" s="911"/>
      <c r="I17" s="911"/>
      <c r="J17" s="884">
        <v>3000000</v>
      </c>
      <c r="L17" s="177"/>
    </row>
    <row r="18" spans="1:12">
      <c r="A18" s="203" t="s">
        <v>540</v>
      </c>
      <c r="B18" s="170"/>
      <c r="C18" s="884">
        <v>26993044</v>
      </c>
      <c r="D18" s="885">
        <f t="shared" si="0"/>
        <v>26993044</v>
      </c>
      <c r="E18" s="910"/>
      <c r="F18" s="910"/>
      <c r="G18" s="911"/>
      <c r="H18" s="911"/>
      <c r="I18" s="911"/>
      <c r="J18" s="884">
        <v>26993044</v>
      </c>
    </row>
    <row r="19" spans="1:12">
      <c r="A19" s="196" t="s">
        <v>167</v>
      </c>
      <c r="B19" s="170"/>
      <c r="C19" s="884">
        <v>481200</v>
      </c>
      <c r="D19" s="885">
        <f t="shared" si="0"/>
        <v>481200</v>
      </c>
      <c r="E19" s="910"/>
      <c r="F19" s="910"/>
      <c r="G19" s="911"/>
      <c r="H19" s="911"/>
      <c r="I19" s="911"/>
      <c r="J19" s="884">
        <v>481200</v>
      </c>
    </row>
    <row r="20" spans="1:12">
      <c r="A20" s="209" t="s">
        <v>461</v>
      </c>
      <c r="B20" s="170"/>
      <c r="C20" s="885">
        <v>4800000</v>
      </c>
      <c r="D20" s="885">
        <f>SUM(E20:J20)</f>
        <v>4800000</v>
      </c>
      <c r="E20" s="910">
        <v>4800000</v>
      </c>
      <c r="F20" s="910"/>
      <c r="G20" s="911"/>
      <c r="H20" s="911"/>
      <c r="I20" s="911"/>
      <c r="J20" s="884"/>
    </row>
    <row r="21" spans="1:12">
      <c r="A21" s="209" t="s">
        <v>867</v>
      </c>
      <c r="B21" s="170"/>
      <c r="C21" s="885"/>
      <c r="D21" s="885">
        <f>SUM(E21:J21)</f>
        <v>5668958</v>
      </c>
      <c r="E21" s="910">
        <v>5668958</v>
      </c>
      <c r="F21" s="910"/>
      <c r="G21" s="911"/>
      <c r="H21" s="911"/>
      <c r="I21" s="911"/>
      <c r="J21" s="884"/>
    </row>
    <row r="22" spans="1:12" s="73" customFormat="1" ht="12.75" thickBot="1">
      <c r="A22" s="77" t="s">
        <v>851</v>
      </c>
      <c r="B22" s="189"/>
      <c r="C22" s="885">
        <v>0</v>
      </c>
      <c r="D22" s="885">
        <f t="shared" si="0"/>
        <v>609000</v>
      </c>
      <c r="E22" s="919"/>
      <c r="F22" s="919"/>
      <c r="G22" s="920"/>
      <c r="H22" s="920"/>
      <c r="I22" s="920"/>
      <c r="J22" s="921">
        <v>609000</v>
      </c>
    </row>
    <row r="23" spans="1:12" s="22" customFormat="1" ht="12.75" thickBot="1">
      <c r="A23" s="194" t="s">
        <v>166</v>
      </c>
      <c r="B23" s="182">
        <f>SUM(B16:B22)</f>
        <v>0</v>
      </c>
      <c r="C23" s="882">
        <f>SUM(C16:C22)</f>
        <v>37339009</v>
      </c>
      <c r="D23" s="882">
        <f>SUM(E23:J23)</f>
        <v>49517243</v>
      </c>
      <c r="E23" s="914">
        <f t="shared" ref="E23:J23" si="2">SUM(E16:E22)</f>
        <v>10468958</v>
      </c>
      <c r="F23" s="914">
        <f t="shared" si="2"/>
        <v>0</v>
      </c>
      <c r="G23" s="915">
        <f t="shared" si="2"/>
        <v>0</v>
      </c>
      <c r="H23" s="915">
        <f t="shared" si="2"/>
        <v>0</v>
      </c>
      <c r="I23" s="915">
        <f t="shared" si="2"/>
        <v>0</v>
      </c>
      <c r="J23" s="916">
        <f t="shared" si="2"/>
        <v>39048285</v>
      </c>
    </row>
    <row r="24" spans="1:12" ht="12.75" thickBot="1">
      <c r="A24" s="296" t="s">
        <v>716</v>
      </c>
      <c r="B24" s="172">
        <v>0</v>
      </c>
      <c r="C24" s="886">
        <v>1576900000</v>
      </c>
      <c r="D24" s="886">
        <f t="shared" si="0"/>
        <v>1576900000</v>
      </c>
      <c r="E24" s="917"/>
      <c r="F24" s="917"/>
      <c r="G24" s="918"/>
      <c r="H24" s="918"/>
      <c r="I24" s="918"/>
      <c r="J24" s="883">
        <v>1576900000</v>
      </c>
    </row>
    <row r="25" spans="1:12" hidden="1">
      <c r="A25" s="192" t="s">
        <v>181</v>
      </c>
      <c r="B25" s="170">
        <v>0</v>
      </c>
      <c r="C25" s="885">
        <v>0</v>
      </c>
      <c r="D25" s="885">
        <f t="shared" si="0"/>
        <v>0</v>
      </c>
      <c r="E25" s="910"/>
      <c r="F25" s="910"/>
      <c r="G25" s="911"/>
      <c r="H25" s="911"/>
      <c r="I25" s="911"/>
      <c r="J25" s="884"/>
    </row>
    <row r="26" spans="1:12" hidden="1">
      <c r="A26" s="203" t="s">
        <v>472</v>
      </c>
      <c r="B26" s="170"/>
      <c r="C26" s="885">
        <v>0</v>
      </c>
      <c r="D26" s="885">
        <f t="shared" si="0"/>
        <v>0</v>
      </c>
      <c r="E26" s="910"/>
      <c r="F26" s="910"/>
      <c r="G26" s="911"/>
      <c r="H26" s="911"/>
      <c r="I26" s="911"/>
      <c r="J26" s="884"/>
    </row>
    <row r="27" spans="1:12" ht="12.75" hidden="1" thickBot="1">
      <c r="A27" s="193" t="s">
        <v>182</v>
      </c>
      <c r="B27" s="171">
        <v>0</v>
      </c>
      <c r="C27" s="887">
        <v>0</v>
      </c>
      <c r="D27" s="887">
        <f t="shared" si="0"/>
        <v>0</v>
      </c>
      <c r="E27" s="912"/>
      <c r="F27" s="912"/>
      <c r="G27" s="913"/>
      <c r="H27" s="913"/>
      <c r="I27" s="913"/>
      <c r="J27" s="922"/>
    </row>
    <row r="28" spans="1:12" s="22" customFormat="1" ht="12.75" thickBot="1">
      <c r="A28" s="194" t="s">
        <v>180</v>
      </c>
      <c r="B28" s="182">
        <f t="shared" ref="B28:J28" si="3">SUM(B24:B27)</f>
        <v>0</v>
      </c>
      <c r="C28" s="882">
        <f>SUM(C24:C27)</f>
        <v>1576900000</v>
      </c>
      <c r="D28" s="882">
        <f t="shared" si="0"/>
        <v>1576900000</v>
      </c>
      <c r="E28" s="914">
        <f t="shared" si="3"/>
        <v>0</v>
      </c>
      <c r="F28" s="914">
        <f t="shared" si="3"/>
        <v>0</v>
      </c>
      <c r="G28" s="915">
        <f t="shared" si="3"/>
        <v>0</v>
      </c>
      <c r="H28" s="915">
        <f t="shared" si="3"/>
        <v>0</v>
      </c>
      <c r="I28" s="915">
        <f t="shared" si="3"/>
        <v>0</v>
      </c>
      <c r="J28" s="916">
        <f t="shared" si="3"/>
        <v>1576900000</v>
      </c>
    </row>
    <row r="29" spans="1:12">
      <c r="A29" s="409" t="s">
        <v>652</v>
      </c>
      <c r="B29" s="305"/>
      <c r="C29" s="888">
        <v>1546538</v>
      </c>
      <c r="D29" s="923">
        <f>SUM(E29:J29)</f>
        <v>1546538</v>
      </c>
      <c r="E29" s="924"/>
      <c r="F29" s="898"/>
      <c r="G29" s="898"/>
      <c r="H29" s="898"/>
      <c r="I29" s="898"/>
      <c r="J29" s="888">
        <v>1546538</v>
      </c>
    </row>
    <row r="30" spans="1:12" ht="12.75" thickBot="1">
      <c r="A30" s="296" t="s">
        <v>653</v>
      </c>
      <c r="B30" s="305"/>
      <c r="C30" s="888">
        <v>9950000</v>
      </c>
      <c r="D30" s="923">
        <f>SUM(E30:J30)</f>
        <v>9950000</v>
      </c>
      <c r="E30" s="924"/>
      <c r="F30" s="898"/>
      <c r="G30" s="898"/>
      <c r="H30" s="898"/>
      <c r="I30" s="898"/>
      <c r="J30" s="888">
        <v>9950000</v>
      </c>
    </row>
    <row r="31" spans="1:12" s="22" customFormat="1" ht="12.75" thickBot="1">
      <c r="A31" s="194" t="s">
        <v>168</v>
      </c>
      <c r="B31" s="182">
        <f>SUM(B29:B30)</f>
        <v>0</v>
      </c>
      <c r="C31" s="889">
        <f>SUM(C29:C30)</f>
        <v>11496538</v>
      </c>
      <c r="D31" s="889">
        <f t="shared" si="0"/>
        <v>11496538</v>
      </c>
      <c r="E31" s="914">
        <f t="shared" ref="E31:J31" si="4">SUM(E29:E30)</f>
        <v>0</v>
      </c>
      <c r="F31" s="914">
        <f t="shared" si="4"/>
        <v>0</v>
      </c>
      <c r="G31" s="915">
        <f t="shared" si="4"/>
        <v>0</v>
      </c>
      <c r="H31" s="915">
        <f t="shared" si="4"/>
        <v>0</v>
      </c>
      <c r="I31" s="915">
        <f t="shared" si="4"/>
        <v>0</v>
      </c>
      <c r="J31" s="916">
        <f t="shared" si="4"/>
        <v>11496538</v>
      </c>
    </row>
    <row r="32" spans="1:12" ht="11.25" hidden="1" customHeight="1" thickBot="1">
      <c r="A32" s="197" t="s">
        <v>224</v>
      </c>
      <c r="B32" s="175"/>
      <c r="C32" s="882">
        <v>0</v>
      </c>
      <c r="D32" s="882">
        <f t="shared" si="0"/>
        <v>0</v>
      </c>
      <c r="E32" s="925"/>
      <c r="F32" s="925"/>
      <c r="G32" s="926"/>
      <c r="H32" s="926"/>
      <c r="I32" s="926"/>
      <c r="J32" s="927"/>
    </row>
    <row r="33" spans="1:10">
      <c r="A33" s="195" t="s">
        <v>92</v>
      </c>
      <c r="B33" s="172"/>
      <c r="C33" s="886">
        <v>56000000</v>
      </c>
      <c r="D33" s="886">
        <f t="shared" si="0"/>
        <v>56000000</v>
      </c>
      <c r="E33" s="917"/>
      <c r="F33" s="917"/>
      <c r="G33" s="918"/>
      <c r="H33" s="918"/>
      <c r="I33" s="918"/>
      <c r="J33" s="883">
        <v>56000000</v>
      </c>
    </row>
    <row r="34" spans="1:10" ht="12.75" thickBot="1">
      <c r="A34" s="193" t="s">
        <v>93</v>
      </c>
      <c r="B34" s="171"/>
      <c r="C34" s="887">
        <v>27000000</v>
      </c>
      <c r="D34" s="887">
        <f t="shared" si="0"/>
        <v>27000000</v>
      </c>
      <c r="E34" s="912"/>
      <c r="F34" s="912"/>
      <c r="G34" s="913"/>
      <c r="H34" s="913"/>
      <c r="I34" s="913"/>
      <c r="J34" s="922">
        <v>27000000</v>
      </c>
    </row>
    <row r="35" spans="1:10" s="23" customFormat="1" ht="12.75" thickBot="1">
      <c r="A35" s="194" t="s">
        <v>169</v>
      </c>
      <c r="B35" s="182">
        <f t="shared" ref="B35:J35" si="5">SUM(B33:B34)</f>
        <v>0</v>
      </c>
      <c r="C35" s="882">
        <f>C33+C34</f>
        <v>83000000</v>
      </c>
      <c r="D35" s="882">
        <f t="shared" si="0"/>
        <v>83000000</v>
      </c>
      <c r="E35" s="914">
        <f t="shared" si="5"/>
        <v>0</v>
      </c>
      <c r="F35" s="914">
        <f t="shared" si="5"/>
        <v>0</v>
      </c>
      <c r="G35" s="915">
        <f t="shared" si="5"/>
        <v>0</v>
      </c>
      <c r="H35" s="915">
        <f t="shared" si="5"/>
        <v>0</v>
      </c>
      <c r="I35" s="915">
        <f t="shared" si="5"/>
        <v>0</v>
      </c>
      <c r="J35" s="916">
        <f t="shared" si="5"/>
        <v>83000000</v>
      </c>
    </row>
    <row r="36" spans="1:10" ht="12.75" thickBot="1">
      <c r="A36" s="195" t="s">
        <v>171</v>
      </c>
      <c r="B36" s="172"/>
      <c r="C36" s="886">
        <v>310000000</v>
      </c>
      <c r="D36" s="886">
        <f t="shared" si="0"/>
        <v>310000000</v>
      </c>
      <c r="E36" s="917"/>
      <c r="F36" s="917"/>
      <c r="G36" s="918"/>
      <c r="H36" s="918"/>
      <c r="I36" s="918"/>
      <c r="J36" s="883">
        <v>310000000</v>
      </c>
    </row>
    <row r="37" spans="1:10" ht="12.75" hidden="1" thickBot="1">
      <c r="A37" s="198"/>
      <c r="B37" s="171"/>
      <c r="C37" s="887">
        <v>0</v>
      </c>
      <c r="D37" s="887">
        <f t="shared" si="0"/>
        <v>0</v>
      </c>
      <c r="E37" s="912"/>
      <c r="F37" s="912"/>
      <c r="G37" s="913"/>
      <c r="H37" s="913"/>
      <c r="I37" s="913"/>
      <c r="J37" s="922"/>
    </row>
    <row r="38" spans="1:10" s="8" customFormat="1" ht="12.75" thickBot="1">
      <c r="A38" s="199" t="s">
        <v>170</v>
      </c>
      <c r="B38" s="175">
        <f t="shared" ref="B38:J38" si="6">SUM(B36:B37)</f>
        <v>0</v>
      </c>
      <c r="C38" s="882">
        <f>C36+C37</f>
        <v>310000000</v>
      </c>
      <c r="D38" s="882">
        <f t="shared" si="0"/>
        <v>310000000</v>
      </c>
      <c r="E38" s="925">
        <f t="shared" si="6"/>
        <v>0</v>
      </c>
      <c r="F38" s="925">
        <f t="shared" si="6"/>
        <v>0</v>
      </c>
      <c r="G38" s="926">
        <f t="shared" si="6"/>
        <v>0</v>
      </c>
      <c r="H38" s="926">
        <f t="shared" si="6"/>
        <v>0</v>
      </c>
      <c r="I38" s="926">
        <f t="shared" si="6"/>
        <v>0</v>
      </c>
      <c r="J38" s="927">
        <f t="shared" si="6"/>
        <v>310000000</v>
      </c>
    </row>
    <row r="39" spans="1:10" ht="12.75" thickBot="1">
      <c r="A39" s="200" t="s">
        <v>173</v>
      </c>
      <c r="B39" s="172"/>
      <c r="C39" s="886">
        <v>500000</v>
      </c>
      <c r="D39" s="886">
        <f t="shared" si="0"/>
        <v>500000</v>
      </c>
      <c r="E39" s="917"/>
      <c r="F39" s="917"/>
      <c r="G39" s="918"/>
      <c r="H39" s="918"/>
      <c r="I39" s="918"/>
      <c r="J39" s="883">
        <v>500000</v>
      </c>
    </row>
    <row r="40" spans="1:10" ht="12" hidden="1" customHeight="1" thickBot="1">
      <c r="A40" s="202" t="s">
        <v>174</v>
      </c>
      <c r="B40" s="171">
        <v>0</v>
      </c>
      <c r="C40" s="887">
        <v>0</v>
      </c>
      <c r="D40" s="887">
        <f t="shared" si="0"/>
        <v>0</v>
      </c>
      <c r="E40" s="912"/>
      <c r="F40" s="912"/>
      <c r="G40" s="913"/>
      <c r="H40" s="913"/>
      <c r="I40" s="913"/>
      <c r="J40" s="922"/>
    </row>
    <row r="41" spans="1:10" s="8" customFormat="1" ht="12.75" thickBot="1">
      <c r="A41" s="199" t="s">
        <v>172</v>
      </c>
      <c r="B41" s="175">
        <f>SUM(B39:B40)</f>
        <v>0</v>
      </c>
      <c r="C41" s="882">
        <f>C39+C40</f>
        <v>500000</v>
      </c>
      <c r="D41" s="882">
        <f t="shared" si="0"/>
        <v>500000</v>
      </c>
      <c r="E41" s="925">
        <f t="shared" ref="E41:J41" si="7">SUM(E39:E40)</f>
        <v>0</v>
      </c>
      <c r="F41" s="925">
        <f t="shared" si="7"/>
        <v>0</v>
      </c>
      <c r="G41" s="926">
        <f t="shared" si="7"/>
        <v>0</v>
      </c>
      <c r="H41" s="926">
        <f t="shared" si="7"/>
        <v>0</v>
      </c>
      <c r="I41" s="926">
        <f t="shared" si="7"/>
        <v>0</v>
      </c>
      <c r="J41" s="927">
        <f t="shared" si="7"/>
        <v>500000</v>
      </c>
    </row>
    <row r="42" spans="1:10" s="23" customFormat="1" ht="12.75" thickBot="1">
      <c r="A42" s="194" t="s">
        <v>144</v>
      </c>
      <c r="B42" s="182" t="e">
        <f>B38+#REF!+B41</f>
        <v>#REF!</v>
      </c>
      <c r="C42" s="882">
        <f>C38+C41</f>
        <v>310500000</v>
      </c>
      <c r="D42" s="882">
        <f t="shared" si="0"/>
        <v>310500000</v>
      </c>
      <c r="E42" s="914">
        <f t="shared" ref="E42:J42" si="8">E38+E41</f>
        <v>0</v>
      </c>
      <c r="F42" s="914">
        <f t="shared" si="8"/>
        <v>0</v>
      </c>
      <c r="G42" s="914">
        <f t="shared" si="8"/>
        <v>0</v>
      </c>
      <c r="H42" s="914">
        <f t="shared" si="8"/>
        <v>0</v>
      </c>
      <c r="I42" s="914">
        <f t="shared" si="8"/>
        <v>0</v>
      </c>
      <c r="J42" s="914">
        <f t="shared" si="8"/>
        <v>310500000</v>
      </c>
    </row>
    <row r="43" spans="1:10">
      <c r="A43" s="195" t="s">
        <v>2</v>
      </c>
      <c r="B43" s="172"/>
      <c r="C43" s="1017">
        <v>420000</v>
      </c>
      <c r="D43" s="886">
        <f t="shared" si="0"/>
        <v>420000</v>
      </c>
      <c r="E43" s="917">
        <v>420000</v>
      </c>
      <c r="F43" s="917"/>
      <c r="G43" s="918"/>
      <c r="H43" s="918"/>
      <c r="I43" s="918"/>
      <c r="J43" s="883"/>
    </row>
    <row r="44" spans="1:10">
      <c r="A44" s="296" t="s">
        <v>791</v>
      </c>
      <c r="B44" s="172"/>
      <c r="C44" s="1017">
        <v>4847020</v>
      </c>
      <c r="D44" s="886">
        <f t="shared" si="0"/>
        <v>4847020</v>
      </c>
      <c r="E44" s="917"/>
      <c r="F44" s="917"/>
      <c r="G44" s="918"/>
      <c r="H44" s="918"/>
      <c r="I44" s="918"/>
      <c r="J44" s="883">
        <v>4847020</v>
      </c>
    </row>
    <row r="45" spans="1:10">
      <c r="A45" s="201" t="s">
        <v>298</v>
      </c>
      <c r="B45" s="170"/>
      <c r="C45" s="1018">
        <v>1000000</v>
      </c>
      <c r="D45" s="885">
        <f t="shared" si="0"/>
        <v>1000000</v>
      </c>
      <c r="E45" s="910"/>
      <c r="F45" s="910"/>
      <c r="G45" s="911"/>
      <c r="H45" s="911"/>
      <c r="I45" s="911"/>
      <c r="J45" s="884">
        <v>1000000</v>
      </c>
    </row>
    <row r="46" spans="1:10" ht="12.75" thickBot="1">
      <c r="A46" s="198" t="s">
        <v>1</v>
      </c>
      <c r="B46" s="171"/>
      <c r="C46" s="1019">
        <v>1000000</v>
      </c>
      <c r="D46" s="887">
        <f t="shared" si="0"/>
        <v>1000000</v>
      </c>
      <c r="E46" s="912"/>
      <c r="F46" s="912"/>
      <c r="G46" s="913"/>
      <c r="H46" s="913"/>
      <c r="I46" s="913"/>
      <c r="J46" s="922">
        <v>1000000</v>
      </c>
    </row>
    <row r="47" spans="1:10" s="8" customFormat="1" ht="12.75" thickBot="1">
      <c r="A47" s="199" t="s">
        <v>145</v>
      </c>
      <c r="B47" s="175">
        <f>SUM(B43:B46)</f>
        <v>0</v>
      </c>
      <c r="C47" s="882">
        <f>SUM(C43:C46)</f>
        <v>7267020</v>
      </c>
      <c r="D47" s="882">
        <f t="shared" si="0"/>
        <v>7267020</v>
      </c>
      <c r="E47" s="925">
        <f t="shared" ref="E47:J47" si="9">SUM(E43:E46)</f>
        <v>420000</v>
      </c>
      <c r="F47" s="925">
        <f t="shared" si="9"/>
        <v>0</v>
      </c>
      <c r="G47" s="926">
        <f t="shared" si="9"/>
        <v>0</v>
      </c>
      <c r="H47" s="926">
        <f t="shared" si="9"/>
        <v>0</v>
      </c>
      <c r="I47" s="926">
        <f t="shared" si="9"/>
        <v>0</v>
      </c>
      <c r="J47" s="927">
        <f t="shared" si="9"/>
        <v>6847020</v>
      </c>
    </row>
    <row r="48" spans="1:10" s="8" customFormat="1" ht="12.75" thickBot="1">
      <c r="A48" s="199" t="s">
        <v>194</v>
      </c>
      <c r="B48" s="175"/>
      <c r="C48" s="882">
        <v>550000</v>
      </c>
      <c r="D48" s="882">
        <f t="shared" si="0"/>
        <v>550000</v>
      </c>
      <c r="E48" s="925"/>
      <c r="F48" s="925"/>
      <c r="G48" s="926"/>
      <c r="H48" s="926"/>
      <c r="I48" s="926">
        <v>50000</v>
      </c>
      <c r="J48" s="927">
        <v>500000</v>
      </c>
    </row>
    <row r="49" spans="1:10">
      <c r="A49" s="296" t="s">
        <v>464</v>
      </c>
      <c r="B49" s="172"/>
      <c r="C49" s="886">
        <v>23140189</v>
      </c>
      <c r="D49" s="886">
        <f t="shared" si="0"/>
        <v>23140189</v>
      </c>
      <c r="E49" s="917"/>
      <c r="F49" s="928">
        <v>16135200</v>
      </c>
      <c r="G49" s="918"/>
      <c r="H49" s="918"/>
      <c r="I49" s="918">
        <v>7004989</v>
      </c>
      <c r="J49" s="883"/>
    </row>
    <row r="50" spans="1:10">
      <c r="A50" s="195" t="s">
        <v>3</v>
      </c>
      <c r="B50" s="172"/>
      <c r="C50" s="886">
        <v>48815394</v>
      </c>
      <c r="D50" s="886">
        <f>SUM(E50:J50)</f>
        <v>48815394</v>
      </c>
      <c r="E50" s="917">
        <v>4678812</v>
      </c>
      <c r="F50" s="928">
        <v>2250000</v>
      </c>
      <c r="G50" s="918">
        <v>3000000</v>
      </c>
      <c r="H50" s="918"/>
      <c r="I50" s="918"/>
      <c r="J50" s="883">
        <v>38886582</v>
      </c>
    </row>
    <row r="51" spans="1:10">
      <c r="A51" s="203" t="s">
        <v>465</v>
      </c>
      <c r="B51" s="170"/>
      <c r="C51" s="885">
        <v>2674500</v>
      </c>
      <c r="D51" s="885">
        <f>SUM(E51:J51)</f>
        <v>2674500</v>
      </c>
      <c r="E51" s="910"/>
      <c r="F51" s="929">
        <v>274500</v>
      </c>
      <c r="G51" s="911"/>
      <c r="H51" s="911"/>
      <c r="I51" s="911"/>
      <c r="J51" s="884">
        <v>2400000</v>
      </c>
    </row>
    <row r="52" spans="1:10">
      <c r="A52" s="198" t="s">
        <v>359</v>
      </c>
      <c r="B52" s="171"/>
      <c r="C52" s="885">
        <v>5145000</v>
      </c>
      <c r="D52" s="885">
        <f t="shared" si="0"/>
        <v>5145000</v>
      </c>
      <c r="E52" s="912"/>
      <c r="F52" s="930"/>
      <c r="G52" s="913">
        <v>5145000</v>
      </c>
      <c r="H52" s="913"/>
      <c r="I52" s="913"/>
      <c r="J52" s="922"/>
    </row>
    <row r="53" spans="1:10">
      <c r="A53" s="198" t="s">
        <v>4</v>
      </c>
      <c r="B53" s="171"/>
      <c r="C53" s="885">
        <v>94488</v>
      </c>
      <c r="D53" s="885">
        <f t="shared" si="0"/>
        <v>94488</v>
      </c>
      <c r="E53" s="912"/>
      <c r="F53" s="930">
        <v>94488</v>
      </c>
      <c r="G53" s="913"/>
      <c r="H53" s="913"/>
      <c r="I53" s="913"/>
      <c r="J53" s="922"/>
    </row>
    <row r="54" spans="1:10" ht="12.75" thickBot="1">
      <c r="A54" s="198" t="s">
        <v>358</v>
      </c>
      <c r="B54" s="171"/>
      <c r="C54" s="887">
        <v>70000</v>
      </c>
      <c r="D54" s="887">
        <f t="shared" si="0"/>
        <v>70000</v>
      </c>
      <c r="E54" s="912"/>
      <c r="F54" s="930"/>
      <c r="G54" s="913">
        <v>70000</v>
      </c>
      <c r="H54" s="913"/>
      <c r="I54" s="913"/>
      <c r="J54" s="922"/>
    </row>
    <row r="55" spans="1:10" s="8" customFormat="1" ht="12" customHeight="1" thickBot="1">
      <c r="A55" s="199" t="s">
        <v>188</v>
      </c>
      <c r="B55" s="175">
        <f>SUM(B49:B54)</f>
        <v>0</v>
      </c>
      <c r="C55" s="882">
        <f>SUM(C49:C54)</f>
        <v>79939571</v>
      </c>
      <c r="D55" s="882">
        <f t="shared" si="0"/>
        <v>79939571</v>
      </c>
      <c r="E55" s="925">
        <f t="shared" ref="E55:J55" si="10">SUM(E49:E54)</f>
        <v>4678812</v>
      </c>
      <c r="F55" s="931">
        <f t="shared" si="10"/>
        <v>18754188</v>
      </c>
      <c r="G55" s="926">
        <f t="shared" si="10"/>
        <v>8215000</v>
      </c>
      <c r="H55" s="926">
        <f t="shared" si="10"/>
        <v>0</v>
      </c>
      <c r="I55" s="926">
        <f t="shared" si="10"/>
        <v>7004989</v>
      </c>
      <c r="J55" s="927">
        <f t="shared" si="10"/>
        <v>41286582</v>
      </c>
    </row>
    <row r="56" spans="1:10">
      <c r="A56" s="195" t="s">
        <v>189</v>
      </c>
      <c r="B56" s="172"/>
      <c r="C56" s="886">
        <v>14318208</v>
      </c>
      <c r="D56" s="886">
        <f t="shared" si="0"/>
        <v>14318208</v>
      </c>
      <c r="E56" s="917">
        <v>75588</v>
      </c>
      <c r="F56" s="928"/>
      <c r="G56" s="918"/>
      <c r="H56" s="918"/>
      <c r="I56" s="918"/>
      <c r="J56" s="883">
        <v>14242620</v>
      </c>
    </row>
    <row r="57" spans="1:10" ht="12.75" thickBot="1">
      <c r="A57" s="193" t="s">
        <v>190</v>
      </c>
      <c r="B57" s="171"/>
      <c r="C57" s="887">
        <v>12909000</v>
      </c>
      <c r="D57" s="887">
        <f t="shared" si="0"/>
        <v>12909000</v>
      </c>
      <c r="E57" s="912">
        <v>60000</v>
      </c>
      <c r="F57" s="930"/>
      <c r="G57" s="913">
        <v>1800000</v>
      </c>
      <c r="H57" s="913"/>
      <c r="I57" s="913">
        <v>75000</v>
      </c>
      <c r="J57" s="922">
        <v>10974000</v>
      </c>
    </row>
    <row r="58" spans="1:10" ht="12.75" thickBot="1">
      <c r="A58" s="199" t="s">
        <v>191</v>
      </c>
      <c r="B58" s="175">
        <f>SUM(B56:B57)</f>
        <v>0</v>
      </c>
      <c r="C58" s="882">
        <v>27227208</v>
      </c>
      <c r="D58" s="882">
        <f t="shared" si="0"/>
        <v>27227208</v>
      </c>
      <c r="E58" s="925">
        <f t="shared" ref="E58:J58" si="11">SUM(E56:E57)</f>
        <v>135588</v>
      </c>
      <c r="F58" s="931">
        <f t="shared" si="11"/>
        <v>0</v>
      </c>
      <c r="G58" s="926">
        <f t="shared" si="11"/>
        <v>1800000</v>
      </c>
      <c r="H58" s="926">
        <f t="shared" si="11"/>
        <v>0</v>
      </c>
      <c r="I58" s="926">
        <f t="shared" si="11"/>
        <v>75000</v>
      </c>
      <c r="J58" s="927">
        <f t="shared" si="11"/>
        <v>25216620</v>
      </c>
    </row>
    <row r="59" spans="1:10" ht="12.75" thickBot="1">
      <c r="A59" s="199" t="s">
        <v>195</v>
      </c>
      <c r="B59" s="175">
        <v>0</v>
      </c>
      <c r="C59" s="882">
        <v>39440004</v>
      </c>
      <c r="D59" s="882">
        <f t="shared" si="0"/>
        <v>39440004</v>
      </c>
      <c r="E59" s="925"/>
      <c r="F59" s="931"/>
      <c r="G59" s="926"/>
      <c r="H59" s="926"/>
      <c r="I59" s="926"/>
      <c r="J59" s="927">
        <v>39440004</v>
      </c>
    </row>
    <row r="60" spans="1:10">
      <c r="A60" s="195" t="s">
        <v>192</v>
      </c>
      <c r="B60" s="172">
        <v>0</v>
      </c>
      <c r="C60" s="886">
        <v>12319500</v>
      </c>
      <c r="D60" s="886">
        <f t="shared" si="0"/>
        <v>12319500</v>
      </c>
      <c r="E60" s="917"/>
      <c r="F60" s="928"/>
      <c r="G60" s="918"/>
      <c r="H60" s="918"/>
      <c r="I60" s="918"/>
      <c r="J60" s="883">
        <v>12319500</v>
      </c>
    </row>
    <row r="61" spans="1:10" ht="12.75" thickBot="1">
      <c r="A61" s="192" t="s">
        <v>5</v>
      </c>
      <c r="B61" s="170"/>
      <c r="C61" s="885">
        <v>174685125</v>
      </c>
      <c r="D61" s="885">
        <f t="shared" si="0"/>
        <v>174685125</v>
      </c>
      <c r="E61" s="910"/>
      <c r="F61" s="929">
        <v>16945475</v>
      </c>
      <c r="G61" s="911"/>
      <c r="H61" s="911"/>
      <c r="I61" s="911">
        <v>157739650</v>
      </c>
      <c r="J61" s="884"/>
    </row>
    <row r="62" spans="1:10" ht="12.75" thickBot="1">
      <c r="A62" s="199" t="s">
        <v>193</v>
      </c>
      <c r="B62" s="175">
        <f>SUM(B60:B61)</f>
        <v>0</v>
      </c>
      <c r="C62" s="882">
        <f>SUM(C60:C61)</f>
        <v>187004625</v>
      </c>
      <c r="D62" s="882">
        <f t="shared" si="0"/>
        <v>187004625</v>
      </c>
      <c r="E62" s="925">
        <f t="shared" ref="E62:J62" si="12">SUM(E60:E61)</f>
        <v>0</v>
      </c>
      <c r="F62" s="931">
        <f t="shared" si="12"/>
        <v>16945475</v>
      </c>
      <c r="G62" s="926">
        <f t="shared" si="12"/>
        <v>0</v>
      </c>
      <c r="H62" s="926">
        <f t="shared" si="12"/>
        <v>0</v>
      </c>
      <c r="I62" s="926">
        <f t="shared" si="12"/>
        <v>157739650</v>
      </c>
      <c r="J62" s="927">
        <f t="shared" si="12"/>
        <v>12319500</v>
      </c>
    </row>
    <row r="63" spans="1:10" s="8" customFormat="1" ht="12.75" thickBot="1">
      <c r="A63" s="199" t="s">
        <v>196</v>
      </c>
      <c r="B63" s="175"/>
      <c r="C63" s="882">
        <v>37777865</v>
      </c>
      <c r="D63" s="932">
        <f t="shared" si="0"/>
        <v>37777865</v>
      </c>
      <c r="E63" s="925">
        <v>20409</v>
      </c>
      <c r="F63" s="931">
        <v>9638909</v>
      </c>
      <c r="G63" s="926">
        <v>1894050</v>
      </c>
      <c r="H63" s="926"/>
      <c r="I63" s="926">
        <v>1758900</v>
      </c>
      <c r="J63" s="927">
        <v>24465597</v>
      </c>
    </row>
    <row r="64" spans="1:10" s="8" customFormat="1" ht="12.75" thickBot="1">
      <c r="A64" s="204" t="s">
        <v>654</v>
      </c>
      <c r="B64" s="176"/>
      <c r="C64" s="890">
        <v>83586572</v>
      </c>
      <c r="D64" s="913">
        <f t="shared" si="0"/>
        <v>83586572</v>
      </c>
      <c r="E64" s="933"/>
      <c r="F64" s="934"/>
      <c r="G64" s="935"/>
      <c r="H64" s="935"/>
      <c r="I64" s="935"/>
      <c r="J64" s="936">
        <v>83586572</v>
      </c>
    </row>
    <row r="65" spans="1:10" ht="12.75" thickBot="1">
      <c r="A65" s="199" t="s">
        <v>60</v>
      </c>
      <c r="B65" s="175"/>
      <c r="C65" s="891">
        <v>0</v>
      </c>
      <c r="D65" s="1015">
        <f t="shared" si="0"/>
        <v>0</v>
      </c>
      <c r="E65" s="925"/>
      <c r="F65" s="931"/>
      <c r="G65" s="926"/>
      <c r="H65" s="926"/>
      <c r="I65" s="926"/>
      <c r="J65" s="927"/>
    </row>
    <row r="66" spans="1:10" s="8" customFormat="1" hidden="1">
      <c r="A66" s="204" t="s">
        <v>197</v>
      </c>
      <c r="B66" s="176"/>
      <c r="C66" s="890">
        <v>0</v>
      </c>
      <c r="D66" s="944">
        <f t="shared" ref="D66:D84" si="13">SUM(E66:J66)</f>
        <v>0</v>
      </c>
      <c r="E66" s="933"/>
      <c r="F66" s="934"/>
      <c r="G66" s="935"/>
      <c r="H66" s="935"/>
      <c r="I66" s="935"/>
      <c r="J66" s="936"/>
    </row>
    <row r="67" spans="1:10" ht="12.75" thickBot="1">
      <c r="A67" s="199" t="s">
        <v>452</v>
      </c>
      <c r="B67" s="175"/>
      <c r="C67" s="1016">
        <v>0</v>
      </c>
      <c r="D67" s="926">
        <f t="shared" si="13"/>
        <v>0</v>
      </c>
      <c r="E67" s="925"/>
      <c r="F67" s="931"/>
      <c r="G67" s="926"/>
      <c r="H67" s="926"/>
      <c r="I67" s="926"/>
      <c r="J67" s="927"/>
    </row>
    <row r="68" spans="1:10" hidden="1">
      <c r="A68" s="296" t="s">
        <v>473</v>
      </c>
      <c r="B68" s="172"/>
      <c r="C68" s="886">
        <v>0</v>
      </c>
      <c r="D68" s="886">
        <f t="shared" si="13"/>
        <v>0</v>
      </c>
      <c r="E68" s="917"/>
      <c r="F68" s="928"/>
      <c r="G68" s="918"/>
      <c r="H68" s="918"/>
      <c r="I68" s="918"/>
      <c r="J68" s="883"/>
    </row>
    <row r="69" spans="1:10" ht="12.75" thickBot="1">
      <c r="A69" s="193" t="s">
        <v>198</v>
      </c>
      <c r="B69" s="171">
        <v>0</v>
      </c>
      <c r="C69" s="887">
        <v>0</v>
      </c>
      <c r="D69" s="887">
        <f t="shared" si="13"/>
        <v>0</v>
      </c>
      <c r="E69" s="912"/>
      <c r="F69" s="930"/>
      <c r="G69" s="913"/>
      <c r="H69" s="913"/>
      <c r="I69" s="913"/>
      <c r="J69" s="922"/>
    </row>
    <row r="70" spans="1:10" ht="12.75" thickBot="1">
      <c r="A70" s="199" t="s">
        <v>198</v>
      </c>
      <c r="B70" s="175"/>
      <c r="C70" s="882">
        <v>0</v>
      </c>
      <c r="D70" s="882">
        <f t="shared" si="13"/>
        <v>0</v>
      </c>
      <c r="E70" s="925">
        <f t="shared" ref="E70:J70" si="14">SUM(E67:E69)</f>
        <v>0</v>
      </c>
      <c r="F70" s="931">
        <f t="shared" si="14"/>
        <v>0</v>
      </c>
      <c r="G70" s="926">
        <f t="shared" si="14"/>
        <v>0</v>
      </c>
      <c r="H70" s="926">
        <f t="shared" si="14"/>
        <v>0</v>
      </c>
      <c r="I70" s="926">
        <f t="shared" si="14"/>
        <v>0</v>
      </c>
      <c r="J70" s="927">
        <f t="shared" si="14"/>
        <v>0</v>
      </c>
    </row>
    <row r="71" spans="1:10" s="23" customFormat="1" ht="13.5" thickBot="1">
      <c r="A71" s="205" t="s">
        <v>104</v>
      </c>
      <c r="B71" s="173">
        <f>B48+B55+B58+B59+B62+B63+B64+B65+B66+B70</f>
        <v>0</v>
      </c>
      <c r="C71" s="892">
        <v>636897902</v>
      </c>
      <c r="D71" s="892">
        <f t="shared" si="13"/>
        <v>455525845</v>
      </c>
      <c r="E71" s="914">
        <f t="shared" ref="E71:J71" si="15">E48+E55+E58+E59+E62+E63+E64+E65+E66+E70</f>
        <v>4834809</v>
      </c>
      <c r="F71" s="937">
        <f t="shared" si="15"/>
        <v>45338572</v>
      </c>
      <c r="G71" s="915">
        <f t="shared" si="15"/>
        <v>11909050</v>
      </c>
      <c r="H71" s="915">
        <f t="shared" si="15"/>
        <v>0</v>
      </c>
      <c r="I71" s="915">
        <f t="shared" si="15"/>
        <v>166628539</v>
      </c>
      <c r="J71" s="916">
        <f t="shared" si="15"/>
        <v>226814875</v>
      </c>
    </row>
    <row r="72" spans="1:10" s="8" customFormat="1" ht="12.75" thickBot="1">
      <c r="A72" s="199" t="s">
        <v>199</v>
      </c>
      <c r="B72" s="175">
        <v>0</v>
      </c>
      <c r="C72" s="882">
        <v>0</v>
      </c>
      <c r="D72" s="882">
        <f t="shared" si="13"/>
        <v>0</v>
      </c>
      <c r="E72" s="925"/>
      <c r="F72" s="925"/>
      <c r="G72" s="926"/>
      <c r="H72" s="926"/>
      <c r="I72" s="926"/>
      <c r="J72" s="927"/>
    </row>
    <row r="73" spans="1:10">
      <c r="A73" s="195" t="s">
        <v>200</v>
      </c>
      <c r="B73" s="172">
        <v>0</v>
      </c>
      <c r="C73" s="886">
        <v>0</v>
      </c>
      <c r="D73" s="886">
        <f t="shared" si="13"/>
        <v>0</v>
      </c>
      <c r="E73" s="917"/>
      <c r="F73" s="917"/>
      <c r="G73" s="918"/>
      <c r="H73" s="918"/>
      <c r="I73" s="918"/>
      <c r="J73" s="883"/>
    </row>
    <row r="74" spans="1:10" ht="12.75" thickBot="1">
      <c r="A74" s="193" t="s">
        <v>6</v>
      </c>
      <c r="B74" s="171"/>
      <c r="C74" s="887">
        <v>0</v>
      </c>
      <c r="D74" s="887">
        <f t="shared" si="13"/>
        <v>0</v>
      </c>
      <c r="E74" s="912"/>
      <c r="F74" s="912"/>
      <c r="G74" s="913"/>
      <c r="H74" s="913"/>
      <c r="I74" s="913"/>
      <c r="J74" s="922"/>
    </row>
    <row r="75" spans="1:10" ht="12.75" thickBot="1">
      <c r="A75" s="199" t="s">
        <v>201</v>
      </c>
      <c r="B75" s="175">
        <f t="shared" ref="B75:J75" si="16">SUM(B73:B74)</f>
        <v>0</v>
      </c>
      <c r="C75" s="882">
        <v>0</v>
      </c>
      <c r="D75" s="882">
        <f t="shared" si="13"/>
        <v>0</v>
      </c>
      <c r="E75" s="925">
        <f t="shared" si="16"/>
        <v>0</v>
      </c>
      <c r="F75" s="925">
        <f t="shared" si="16"/>
        <v>0</v>
      </c>
      <c r="G75" s="926">
        <f t="shared" si="16"/>
        <v>0</v>
      </c>
      <c r="H75" s="926">
        <f t="shared" si="16"/>
        <v>0</v>
      </c>
      <c r="I75" s="926">
        <f t="shared" si="16"/>
        <v>0</v>
      </c>
      <c r="J75" s="927">
        <f t="shared" si="16"/>
        <v>0</v>
      </c>
    </row>
    <row r="76" spans="1:10" s="8" customFormat="1" ht="12.75" thickBot="1">
      <c r="A76" s="204" t="s">
        <v>202</v>
      </c>
      <c r="B76" s="176">
        <v>0</v>
      </c>
      <c r="C76" s="893">
        <v>0</v>
      </c>
      <c r="D76" s="893">
        <f t="shared" si="13"/>
        <v>0</v>
      </c>
      <c r="E76" s="933"/>
      <c r="F76" s="933"/>
      <c r="G76" s="935"/>
      <c r="H76" s="935"/>
      <c r="I76" s="935"/>
      <c r="J76" s="936"/>
    </row>
    <row r="77" spans="1:10" s="8" customFormat="1" ht="12.75" thickBot="1">
      <c r="A77" s="199" t="s">
        <v>319</v>
      </c>
      <c r="B77" s="175">
        <v>0</v>
      </c>
      <c r="C77" s="882">
        <v>0</v>
      </c>
      <c r="D77" s="882">
        <f t="shared" si="13"/>
        <v>0</v>
      </c>
      <c r="E77" s="925"/>
      <c r="F77" s="925"/>
      <c r="G77" s="926"/>
      <c r="H77" s="926"/>
      <c r="I77" s="926"/>
      <c r="J77" s="927"/>
    </row>
    <row r="78" spans="1:10" s="23" customFormat="1" ht="13.5" thickBot="1">
      <c r="A78" s="205" t="s">
        <v>148</v>
      </c>
      <c r="B78" s="173">
        <f t="shared" ref="B78:J78" si="17">B72+B75+B76+B77</f>
        <v>0</v>
      </c>
      <c r="C78" s="894">
        <v>0</v>
      </c>
      <c r="D78" s="894">
        <f t="shared" si="13"/>
        <v>0</v>
      </c>
      <c r="E78" s="938">
        <f t="shared" si="17"/>
        <v>0</v>
      </c>
      <c r="F78" s="938">
        <f t="shared" si="17"/>
        <v>0</v>
      </c>
      <c r="G78" s="939">
        <f t="shared" si="17"/>
        <v>0</v>
      </c>
      <c r="H78" s="939">
        <f t="shared" si="17"/>
        <v>0</v>
      </c>
      <c r="I78" s="939">
        <f t="shared" si="17"/>
        <v>0</v>
      </c>
      <c r="J78" s="940">
        <f t="shared" si="17"/>
        <v>0</v>
      </c>
    </row>
    <row r="79" spans="1:10" s="8" customFormat="1" ht="12.75" thickBot="1">
      <c r="A79" s="199" t="s">
        <v>203</v>
      </c>
      <c r="B79" s="175">
        <v>0</v>
      </c>
      <c r="C79" s="882">
        <v>0</v>
      </c>
      <c r="D79" s="882">
        <f t="shared" si="13"/>
        <v>0</v>
      </c>
      <c r="E79" s="925"/>
      <c r="F79" s="925"/>
      <c r="G79" s="926"/>
      <c r="H79" s="926"/>
      <c r="I79" s="926"/>
      <c r="J79" s="927"/>
    </row>
    <row r="80" spans="1:10" s="8" customFormat="1" ht="12.75" thickBot="1">
      <c r="A80" s="199" t="s">
        <v>644</v>
      </c>
      <c r="B80" s="175">
        <v>0</v>
      </c>
      <c r="C80" s="882">
        <v>0</v>
      </c>
      <c r="D80" s="882">
        <f t="shared" si="13"/>
        <v>0</v>
      </c>
      <c r="E80" s="925"/>
      <c r="F80" s="925"/>
      <c r="G80" s="926"/>
      <c r="H80" s="926"/>
      <c r="I80" s="926"/>
      <c r="J80" s="927"/>
    </row>
    <row r="81" spans="1:10" s="10" customFormat="1" ht="12.75" thickBot="1">
      <c r="A81" s="198" t="s">
        <v>628</v>
      </c>
      <c r="B81" s="171">
        <v>0</v>
      </c>
      <c r="C81" s="887">
        <v>39694923</v>
      </c>
      <c r="D81" s="887">
        <f t="shared" si="13"/>
        <v>15539847</v>
      </c>
      <c r="E81" s="912"/>
      <c r="F81" s="912"/>
      <c r="G81" s="913"/>
      <c r="H81" s="913"/>
      <c r="I81" s="913">
        <f>39694923-24155076</f>
        <v>15539847</v>
      </c>
      <c r="J81" s="922"/>
    </row>
    <row r="82" spans="1:10" ht="12.75" thickBot="1">
      <c r="A82" s="199" t="s">
        <v>204</v>
      </c>
      <c r="B82" s="175">
        <f>SUM(B81:B81)</f>
        <v>0</v>
      </c>
      <c r="C82" s="889">
        <f>SUM(C81:C81)</f>
        <v>39694923</v>
      </c>
      <c r="D82" s="889">
        <f t="shared" si="13"/>
        <v>15539847</v>
      </c>
      <c r="E82" s="925">
        <f t="shared" ref="E82:J82" si="18">SUM(E81:E81)</f>
        <v>0</v>
      </c>
      <c r="F82" s="925">
        <f t="shared" si="18"/>
        <v>0</v>
      </c>
      <c r="G82" s="926">
        <f t="shared" si="18"/>
        <v>0</v>
      </c>
      <c r="H82" s="926">
        <f t="shared" si="18"/>
        <v>0</v>
      </c>
      <c r="I82" s="926">
        <f t="shared" si="18"/>
        <v>15539847</v>
      </c>
      <c r="J82" s="927">
        <f t="shared" si="18"/>
        <v>0</v>
      </c>
    </row>
    <row r="83" spans="1:10" s="23" customFormat="1" ht="12.75" thickBot="1">
      <c r="A83" s="194" t="s">
        <v>149</v>
      </c>
      <c r="B83" s="182">
        <f>B79+B82</f>
        <v>0</v>
      </c>
      <c r="C83" s="889">
        <v>39694923</v>
      </c>
      <c r="D83" s="889">
        <f t="shared" si="13"/>
        <v>15539847</v>
      </c>
      <c r="E83" s="914">
        <f t="shared" ref="E83:J83" si="19">E79+E82</f>
        <v>0</v>
      </c>
      <c r="F83" s="914">
        <f t="shared" si="19"/>
        <v>0</v>
      </c>
      <c r="G83" s="915">
        <f t="shared" si="19"/>
        <v>0</v>
      </c>
      <c r="H83" s="915">
        <f t="shared" si="19"/>
        <v>0</v>
      </c>
      <c r="I83" s="915">
        <f t="shared" si="19"/>
        <v>15539847</v>
      </c>
      <c r="J83" s="916">
        <f t="shared" si="19"/>
        <v>0</v>
      </c>
    </row>
    <row r="84" spans="1:10" s="10" customFormat="1" ht="12.75" thickBot="1">
      <c r="A84" s="195" t="s">
        <v>206</v>
      </c>
      <c r="B84" s="172"/>
      <c r="C84" s="886">
        <v>1837200</v>
      </c>
      <c r="D84" s="886">
        <f t="shared" si="13"/>
        <v>1837200</v>
      </c>
      <c r="E84" s="917">
        <v>1837200</v>
      </c>
      <c r="F84" s="917"/>
      <c r="G84" s="918"/>
      <c r="H84" s="918"/>
      <c r="I84" s="918"/>
      <c r="J84" s="883"/>
    </row>
    <row r="85" spans="1:10" s="10" customFormat="1" ht="12.75" hidden="1" thickBot="1">
      <c r="A85" s="203"/>
      <c r="B85" s="170"/>
      <c r="C85" s="885"/>
      <c r="D85" s="885"/>
      <c r="E85" s="910"/>
      <c r="F85" s="910"/>
      <c r="G85" s="911"/>
      <c r="H85" s="911"/>
      <c r="I85" s="911"/>
      <c r="J85" s="890"/>
    </row>
    <row r="86" spans="1:10" s="10" customFormat="1" ht="12.75" hidden="1" thickBot="1">
      <c r="A86" s="206"/>
      <c r="B86" s="171">
        <v>0</v>
      </c>
      <c r="C86" s="887">
        <f>SUM(D86:I86)</f>
        <v>0</v>
      </c>
      <c r="D86" s="887">
        <f>SUM(E86:J86)</f>
        <v>0</v>
      </c>
      <c r="E86" s="912"/>
      <c r="F86" s="912"/>
      <c r="G86" s="913"/>
      <c r="H86" s="913"/>
      <c r="I86" s="913"/>
      <c r="J86" s="922"/>
    </row>
    <row r="87" spans="1:10" s="9" customFormat="1" ht="12.75" thickBot="1">
      <c r="A87" s="199" t="s">
        <v>213</v>
      </c>
      <c r="B87" s="175">
        <f>SUM(B84:B86)</f>
        <v>0</v>
      </c>
      <c r="C87" s="889">
        <f>C84</f>
        <v>1837200</v>
      </c>
      <c r="D87" s="889">
        <f>SUM(E87:J87)</f>
        <v>1837200</v>
      </c>
      <c r="E87" s="925">
        <f t="shared" ref="E87:J87" si="20">SUM(E84:E86)</f>
        <v>1837200</v>
      </c>
      <c r="F87" s="925">
        <f t="shared" si="20"/>
        <v>0</v>
      </c>
      <c r="G87" s="926">
        <f t="shared" si="20"/>
        <v>0</v>
      </c>
      <c r="H87" s="926">
        <f t="shared" si="20"/>
        <v>0</v>
      </c>
      <c r="I87" s="926">
        <f t="shared" si="20"/>
        <v>0</v>
      </c>
      <c r="J87" s="927">
        <f t="shared" si="20"/>
        <v>0</v>
      </c>
    </row>
    <row r="88" spans="1:10" s="9" customFormat="1" ht="12.75" thickBot="1">
      <c r="A88" s="203" t="s">
        <v>453</v>
      </c>
      <c r="B88" s="307"/>
      <c r="C88" s="895">
        <v>0</v>
      </c>
      <c r="D88" s="895">
        <f>SUM(E88:J88)</f>
        <v>0</v>
      </c>
      <c r="E88" s="941"/>
      <c r="F88" s="897"/>
      <c r="G88" s="897"/>
      <c r="H88" s="897"/>
      <c r="I88" s="897"/>
      <c r="J88" s="942"/>
    </row>
    <row r="89" spans="1:10" s="10" customFormat="1" ht="12.75" hidden="1" thickBot="1">
      <c r="A89" s="306"/>
      <c r="B89" s="308"/>
      <c r="C89" s="896">
        <v>0</v>
      </c>
      <c r="D89" s="896">
        <f>SUM(E89:J89)</f>
        <v>0</v>
      </c>
      <c r="E89" s="943"/>
      <c r="F89" s="943"/>
      <c r="G89" s="944"/>
      <c r="H89" s="944"/>
      <c r="I89" s="944"/>
      <c r="J89" s="945"/>
    </row>
    <row r="90" spans="1:10" s="9" customFormat="1" ht="12.75" hidden="1">
      <c r="A90" s="299"/>
      <c r="B90" s="297"/>
      <c r="C90" s="897"/>
      <c r="D90" s="897"/>
      <c r="E90" s="708"/>
      <c r="F90" s="708"/>
      <c r="G90" s="708"/>
      <c r="H90" s="708"/>
      <c r="I90" s="708"/>
      <c r="J90" s="946"/>
    </row>
    <row r="91" spans="1:10" s="9" customFormat="1" ht="12.75" hidden="1">
      <c r="A91" s="299"/>
      <c r="B91" s="297"/>
      <c r="C91" s="708"/>
      <c r="D91" s="708"/>
      <c r="E91" s="708"/>
      <c r="F91" s="708"/>
      <c r="G91" s="708"/>
      <c r="H91" s="708"/>
      <c r="I91" s="708"/>
      <c r="J91" s="946"/>
    </row>
    <row r="92" spans="1:10" s="10" customFormat="1" ht="13.5" hidden="1" thickBot="1">
      <c r="A92" s="299"/>
      <c r="B92" s="298"/>
      <c r="C92" s="898"/>
      <c r="D92" s="898"/>
      <c r="E92" s="898"/>
      <c r="F92" s="898"/>
      <c r="G92" s="898"/>
      <c r="H92" s="898"/>
      <c r="I92" s="898"/>
      <c r="J92" s="947"/>
    </row>
    <row r="93" spans="1:10" s="9" customFormat="1" ht="12.75" thickBot="1">
      <c r="A93" s="194" t="s">
        <v>456</v>
      </c>
      <c r="B93" s="175">
        <f>SUM(B92:B92)</f>
        <v>0</v>
      </c>
      <c r="C93" s="889">
        <v>0</v>
      </c>
      <c r="D93" s="889">
        <f>SUM(E93:J93)</f>
        <v>0</v>
      </c>
      <c r="E93" s="927">
        <f t="shared" ref="E93:J93" si="21">SUM(E88:E92)</f>
        <v>0</v>
      </c>
      <c r="F93" s="927">
        <f t="shared" si="21"/>
        <v>0</v>
      </c>
      <c r="G93" s="927">
        <f t="shared" si="21"/>
        <v>0</v>
      </c>
      <c r="H93" s="927">
        <f t="shared" si="21"/>
        <v>0</v>
      </c>
      <c r="I93" s="927">
        <f t="shared" si="21"/>
        <v>0</v>
      </c>
      <c r="J93" s="927">
        <f t="shared" si="21"/>
        <v>0</v>
      </c>
    </row>
    <row r="94" spans="1:10" s="11" customFormat="1" ht="12.75" thickBot="1">
      <c r="A94" s="194" t="s">
        <v>221</v>
      </c>
      <c r="B94" s="182">
        <f>B87+B93</f>
        <v>0</v>
      </c>
      <c r="C94" s="889">
        <f>C87+C93</f>
        <v>1837200</v>
      </c>
      <c r="D94" s="889">
        <f>SUM(E94:J94)</f>
        <v>1837200</v>
      </c>
      <c r="E94" s="914">
        <f t="shared" ref="E94:J94" si="22">E87+E93</f>
        <v>1837200</v>
      </c>
      <c r="F94" s="914">
        <f t="shared" si="22"/>
        <v>0</v>
      </c>
      <c r="G94" s="915">
        <f t="shared" si="22"/>
        <v>0</v>
      </c>
      <c r="H94" s="915">
        <f t="shared" si="22"/>
        <v>0</v>
      </c>
      <c r="I94" s="915">
        <f t="shared" si="22"/>
        <v>0</v>
      </c>
      <c r="J94" s="916">
        <f t="shared" si="22"/>
        <v>0</v>
      </c>
    </row>
    <row r="95" spans="1:10" s="11" customFormat="1">
      <c r="A95" s="207"/>
      <c r="B95" s="174"/>
      <c r="C95" s="899"/>
      <c r="D95" s="899"/>
      <c r="E95" s="948"/>
      <c r="F95" s="948"/>
      <c r="G95" s="949"/>
      <c r="H95" s="949"/>
      <c r="I95" s="949"/>
      <c r="J95" s="949"/>
    </row>
    <row r="96" spans="1:10" s="11" customFormat="1" ht="7.5" customHeight="1">
      <c r="A96" s="573"/>
      <c r="B96" s="574"/>
      <c r="C96" s="900"/>
      <c r="D96" s="900"/>
      <c r="E96" s="900"/>
      <c r="F96" s="900"/>
      <c r="G96" s="900"/>
      <c r="H96" s="900"/>
      <c r="I96" s="900"/>
      <c r="J96" s="900"/>
    </row>
    <row r="97" spans="1:10" s="576" customFormat="1">
      <c r="A97" s="434" t="s">
        <v>630</v>
      </c>
      <c r="B97" s="575"/>
      <c r="C97" s="901">
        <v>30000000</v>
      </c>
      <c r="D97" s="901">
        <f>SUM(E97:J97)</f>
        <v>30000000</v>
      </c>
      <c r="E97" s="901"/>
      <c r="F97" s="901"/>
      <c r="G97" s="901"/>
      <c r="H97" s="901"/>
      <c r="I97" s="901"/>
      <c r="J97" s="901">
        <v>30000000</v>
      </c>
    </row>
    <row r="98" spans="1:10" s="576" customFormat="1" ht="12.75" thickBot="1">
      <c r="A98" s="198" t="s">
        <v>629</v>
      </c>
      <c r="B98" s="577"/>
      <c r="C98" s="902">
        <v>101403119</v>
      </c>
      <c r="D98" s="901">
        <f>SUM(E98:J98)</f>
        <v>101403119</v>
      </c>
      <c r="E98" s="902"/>
      <c r="F98" s="902"/>
      <c r="G98" s="902"/>
      <c r="H98" s="902"/>
      <c r="I98" s="902"/>
      <c r="J98" s="902">
        <v>101403119</v>
      </c>
    </row>
    <row r="99" spans="1:10" s="9" customFormat="1" ht="12.75" thickBot="1">
      <c r="A99" s="199" t="s">
        <v>207</v>
      </c>
      <c r="B99" s="175">
        <v>0</v>
      </c>
      <c r="C99" s="889">
        <f>C98+C97</f>
        <v>131403119</v>
      </c>
      <c r="D99" s="889">
        <f t="shared" ref="D99:D112" si="23">SUM(E99:J99)</f>
        <v>131403119</v>
      </c>
      <c r="E99" s="925"/>
      <c r="F99" s="925"/>
      <c r="G99" s="926"/>
      <c r="H99" s="926"/>
      <c r="I99" s="926"/>
      <c r="J99" s="927">
        <f>J97+J98</f>
        <v>131403119</v>
      </c>
    </row>
    <row r="100" spans="1:10" ht="12.75" thickBot="1">
      <c r="A100" s="204" t="s">
        <v>208</v>
      </c>
      <c r="B100" s="176">
        <v>0</v>
      </c>
      <c r="C100" s="903">
        <v>0</v>
      </c>
      <c r="D100" s="903">
        <f t="shared" si="23"/>
        <v>0</v>
      </c>
      <c r="E100" s="933"/>
      <c r="F100" s="933"/>
      <c r="G100" s="935"/>
      <c r="H100" s="935"/>
      <c r="I100" s="935"/>
      <c r="J100" s="936"/>
    </row>
    <row r="101" spans="1:10" s="8" customFormat="1" ht="12.75" thickBot="1">
      <c r="A101" s="199" t="s">
        <v>26</v>
      </c>
      <c r="B101" s="175">
        <v>0</v>
      </c>
      <c r="C101" s="889">
        <v>0</v>
      </c>
      <c r="D101" s="889">
        <f t="shared" si="23"/>
        <v>0</v>
      </c>
      <c r="E101" s="925"/>
      <c r="F101" s="925"/>
      <c r="G101" s="926"/>
      <c r="H101" s="926"/>
      <c r="I101" s="926"/>
      <c r="J101" s="927"/>
    </row>
    <row r="102" spans="1:10" s="8" customFormat="1" ht="12.75" thickBot="1">
      <c r="A102" s="199" t="s">
        <v>209</v>
      </c>
      <c r="B102" s="175">
        <v>0</v>
      </c>
      <c r="C102" s="889">
        <v>0</v>
      </c>
      <c r="D102" s="889">
        <f t="shared" si="23"/>
        <v>0</v>
      </c>
      <c r="E102" s="925"/>
      <c r="F102" s="925"/>
      <c r="G102" s="926"/>
      <c r="H102" s="926"/>
      <c r="I102" s="926"/>
      <c r="J102" s="927"/>
    </row>
    <row r="103" spans="1:10" hidden="1">
      <c r="A103" s="213"/>
      <c r="B103" s="172">
        <v>0</v>
      </c>
      <c r="C103" s="904">
        <v>0</v>
      </c>
      <c r="D103" s="904">
        <f t="shared" si="23"/>
        <v>0</v>
      </c>
      <c r="E103" s="928"/>
      <c r="F103" s="928"/>
      <c r="G103" s="992"/>
      <c r="H103" s="918"/>
      <c r="I103" s="918"/>
      <c r="J103" s="883"/>
    </row>
    <row r="104" spans="1:10" hidden="1">
      <c r="A104" s="213"/>
      <c r="B104" s="172"/>
      <c r="C104" s="904">
        <v>0</v>
      </c>
      <c r="D104" s="904">
        <f t="shared" si="23"/>
        <v>0</v>
      </c>
      <c r="E104" s="928"/>
      <c r="F104" s="928"/>
      <c r="G104" s="992"/>
      <c r="H104" s="918"/>
      <c r="I104" s="918"/>
      <c r="J104" s="883"/>
    </row>
    <row r="105" spans="1:10" hidden="1">
      <c r="A105" s="213"/>
      <c r="B105" s="172"/>
      <c r="C105" s="904">
        <v>0</v>
      </c>
      <c r="D105" s="904">
        <f t="shared" si="23"/>
        <v>0</v>
      </c>
      <c r="E105" s="928"/>
      <c r="F105" s="928"/>
      <c r="G105" s="992"/>
      <c r="H105" s="918"/>
      <c r="I105" s="918"/>
      <c r="J105" s="883"/>
    </row>
    <row r="106" spans="1:10">
      <c r="A106" s="196" t="s">
        <v>223</v>
      </c>
      <c r="B106" s="170">
        <v>0</v>
      </c>
      <c r="C106" s="946">
        <v>828900</v>
      </c>
      <c r="D106" s="1017">
        <f t="shared" si="23"/>
        <v>828900</v>
      </c>
      <c r="E106" s="929"/>
      <c r="F106" s="929"/>
      <c r="G106" s="993"/>
      <c r="H106" s="911"/>
      <c r="I106" s="911"/>
      <c r="J106" s="884">
        <v>828900</v>
      </c>
    </row>
    <row r="107" spans="1:10" s="10" customFormat="1">
      <c r="A107" s="209" t="s">
        <v>616</v>
      </c>
      <c r="B107" s="170"/>
      <c r="C107" s="946">
        <v>1750000</v>
      </c>
      <c r="D107" s="1018">
        <f t="shared" si="23"/>
        <v>1750000</v>
      </c>
      <c r="E107" s="910"/>
      <c r="F107" s="910"/>
      <c r="G107" s="911"/>
      <c r="H107" s="911"/>
      <c r="I107" s="911"/>
      <c r="J107" s="884">
        <v>1750000</v>
      </c>
    </row>
    <row r="108" spans="1:10" s="10" customFormat="1" hidden="1">
      <c r="A108" s="196" t="s">
        <v>280</v>
      </c>
      <c r="B108" s="170">
        <v>0</v>
      </c>
      <c r="C108" s="1039"/>
      <c r="D108" s="1018">
        <f t="shared" si="23"/>
        <v>0</v>
      </c>
      <c r="E108" s="910"/>
      <c r="F108" s="910"/>
      <c r="G108" s="911"/>
      <c r="H108" s="911"/>
      <c r="I108" s="911"/>
      <c r="J108" s="880"/>
    </row>
    <row r="109" spans="1:10" s="10" customFormat="1" hidden="1">
      <c r="A109" s="209"/>
      <c r="B109" s="170"/>
      <c r="C109" s="1039"/>
      <c r="D109" s="1018">
        <f t="shared" si="23"/>
        <v>0</v>
      </c>
      <c r="E109" s="910"/>
      <c r="F109" s="910"/>
      <c r="G109" s="911"/>
      <c r="H109" s="911"/>
      <c r="I109" s="911"/>
      <c r="J109" s="880"/>
    </row>
    <row r="110" spans="1:10" s="10" customFormat="1">
      <c r="A110" s="497" t="s">
        <v>717</v>
      </c>
      <c r="B110" s="170">
        <v>0</v>
      </c>
      <c r="C110" s="946">
        <v>100000</v>
      </c>
      <c r="D110" s="1018">
        <f t="shared" si="23"/>
        <v>100000</v>
      </c>
      <c r="E110" s="910"/>
      <c r="F110" s="910"/>
      <c r="G110" s="911"/>
      <c r="H110" s="911"/>
      <c r="I110" s="911"/>
      <c r="J110" s="884">
        <v>100000</v>
      </c>
    </row>
    <row r="111" spans="1:10" s="10" customFormat="1" ht="14.25" customHeight="1">
      <c r="A111" s="1010" t="s">
        <v>720</v>
      </c>
      <c r="B111" s="171"/>
      <c r="C111" s="1019">
        <v>0</v>
      </c>
      <c r="D111" s="1018">
        <f t="shared" si="23"/>
        <v>250000</v>
      </c>
      <c r="E111" s="912"/>
      <c r="F111" s="912"/>
      <c r="G111" s="913"/>
      <c r="H111" s="913"/>
      <c r="I111" s="913"/>
      <c r="J111" s="922">
        <v>250000</v>
      </c>
    </row>
    <row r="112" spans="1:10" s="10" customFormat="1">
      <c r="A112" s="206" t="s">
        <v>279</v>
      </c>
      <c r="B112" s="171"/>
      <c r="C112" s="1040">
        <v>186745398</v>
      </c>
      <c r="D112" s="1019">
        <f t="shared" si="23"/>
        <v>188950728</v>
      </c>
      <c r="E112" s="912"/>
      <c r="F112" s="912"/>
      <c r="G112" s="913"/>
      <c r="H112" s="913"/>
      <c r="I112" s="913"/>
      <c r="J112" s="881">
        <f>174765198+11980200+2205330</f>
        <v>188950728</v>
      </c>
    </row>
    <row r="113" spans="1:12" s="10" customFormat="1" ht="12.75" thickBot="1">
      <c r="A113" s="209" t="s">
        <v>471</v>
      </c>
      <c r="B113" s="170"/>
      <c r="C113" s="1018">
        <v>0</v>
      </c>
      <c r="D113" s="1018">
        <f t="shared" ref="D113:D149" si="24">SUM(E113:J113)</f>
        <v>16341643</v>
      </c>
      <c r="E113" s="910"/>
      <c r="F113" s="910"/>
      <c r="G113" s="911"/>
      <c r="H113" s="911"/>
      <c r="I113" s="911"/>
      <c r="J113" s="880">
        <v>16341643</v>
      </c>
      <c r="L113" s="308"/>
    </row>
    <row r="114" spans="1:12" s="9" customFormat="1" ht="12.75" thickBot="1">
      <c r="A114" s="199" t="s">
        <v>210</v>
      </c>
      <c r="B114" s="175">
        <f>SUM(B103:B113)</f>
        <v>0</v>
      </c>
      <c r="C114" s="889">
        <f>SUM(C103:C113)</f>
        <v>189424298</v>
      </c>
      <c r="D114" s="889">
        <f t="shared" si="24"/>
        <v>208221271</v>
      </c>
      <c r="E114" s="925">
        <f t="shared" ref="E114:J114" si="25">SUM(E103:E113)</f>
        <v>0</v>
      </c>
      <c r="F114" s="925">
        <f t="shared" si="25"/>
        <v>0</v>
      </c>
      <c r="G114" s="925">
        <f t="shared" si="25"/>
        <v>0</v>
      </c>
      <c r="H114" s="925">
        <f t="shared" si="25"/>
        <v>0</v>
      </c>
      <c r="I114" s="925">
        <f t="shared" si="25"/>
        <v>0</v>
      </c>
      <c r="J114" s="925">
        <f t="shared" si="25"/>
        <v>208221271</v>
      </c>
    </row>
    <row r="115" spans="1:12" s="9" customFormat="1" ht="12.75" thickBot="1">
      <c r="A115" s="204" t="s">
        <v>211</v>
      </c>
      <c r="B115" s="176">
        <v>0</v>
      </c>
      <c r="C115" s="903">
        <v>0</v>
      </c>
      <c r="D115" s="903">
        <f t="shared" si="24"/>
        <v>0</v>
      </c>
      <c r="E115" s="933"/>
      <c r="F115" s="933"/>
      <c r="G115" s="935"/>
      <c r="H115" s="935"/>
      <c r="I115" s="935"/>
      <c r="J115" s="936"/>
    </row>
    <row r="116" spans="1:12" s="9" customFormat="1" ht="12.75" thickBot="1">
      <c r="A116" s="199" t="s">
        <v>212</v>
      </c>
      <c r="B116" s="175">
        <v>0</v>
      </c>
      <c r="C116" s="889">
        <v>0</v>
      </c>
      <c r="D116" s="889">
        <f t="shared" si="24"/>
        <v>0</v>
      </c>
      <c r="E116" s="925"/>
      <c r="F116" s="925"/>
      <c r="G116" s="926"/>
      <c r="H116" s="926"/>
      <c r="I116" s="926"/>
      <c r="J116" s="927"/>
    </row>
    <row r="117" spans="1:12" s="10" customFormat="1" ht="14.25" customHeight="1">
      <c r="A117" s="208" t="s">
        <v>27</v>
      </c>
      <c r="B117" s="172"/>
      <c r="C117" s="1017">
        <v>4500000</v>
      </c>
      <c r="D117" s="1017">
        <f t="shared" si="24"/>
        <v>4649450</v>
      </c>
      <c r="E117" s="917"/>
      <c r="F117" s="917"/>
      <c r="G117" s="918"/>
      <c r="H117" s="918"/>
      <c r="I117" s="918"/>
      <c r="J117" s="883">
        <f>4500000+149450</f>
        <v>4649450</v>
      </c>
    </row>
    <row r="118" spans="1:12" s="10" customFormat="1" ht="14.25" customHeight="1">
      <c r="A118" s="1010" t="s">
        <v>718</v>
      </c>
      <c r="B118" s="170">
        <v>0</v>
      </c>
      <c r="C118" s="1018">
        <v>150000</v>
      </c>
      <c r="D118" s="1018">
        <f t="shared" si="24"/>
        <v>150000</v>
      </c>
      <c r="E118" s="910"/>
      <c r="F118" s="910"/>
      <c r="G118" s="911"/>
      <c r="H118" s="911"/>
      <c r="I118" s="911"/>
      <c r="J118" s="884">
        <v>150000</v>
      </c>
    </row>
    <row r="119" spans="1:12" s="10" customFormat="1" ht="14.25" customHeight="1">
      <c r="A119" s="196" t="s">
        <v>28</v>
      </c>
      <c r="B119" s="170"/>
      <c r="C119" s="1018">
        <v>500000</v>
      </c>
      <c r="D119" s="1018">
        <f t="shared" si="24"/>
        <v>500000</v>
      </c>
      <c r="E119" s="910"/>
      <c r="F119" s="910"/>
      <c r="G119" s="911"/>
      <c r="H119" s="911"/>
      <c r="I119" s="911"/>
      <c r="J119" s="884">
        <v>500000</v>
      </c>
    </row>
    <row r="120" spans="1:12" s="10" customFormat="1" ht="14.25" customHeight="1">
      <c r="A120" s="1010" t="s">
        <v>719</v>
      </c>
      <c r="B120" s="171"/>
      <c r="C120" s="1019">
        <v>200000</v>
      </c>
      <c r="D120" s="1018">
        <f>SUM(E120:J120)</f>
        <v>200000</v>
      </c>
      <c r="E120" s="912"/>
      <c r="F120" s="912"/>
      <c r="G120" s="913"/>
      <c r="H120" s="913"/>
      <c r="I120" s="913"/>
      <c r="J120" s="922">
        <v>200000</v>
      </c>
    </row>
    <row r="121" spans="1:12" s="10" customFormat="1" ht="14.25" customHeight="1">
      <c r="A121" s="1010" t="s">
        <v>852</v>
      </c>
      <c r="B121" s="171"/>
      <c r="C121" s="1019"/>
      <c r="D121" s="1018">
        <f t="shared" si="24"/>
        <v>300000</v>
      </c>
      <c r="E121" s="912"/>
      <c r="F121" s="912"/>
      <c r="G121" s="913"/>
      <c r="H121" s="913"/>
      <c r="I121" s="913"/>
      <c r="J121" s="922">
        <v>300000</v>
      </c>
    </row>
    <row r="122" spans="1:12" s="10" customFormat="1" ht="14.25" customHeight="1">
      <c r="A122" s="1010" t="s">
        <v>720</v>
      </c>
      <c r="B122" s="171"/>
      <c r="C122" s="1019">
        <v>250000</v>
      </c>
      <c r="D122" s="1018">
        <f t="shared" si="24"/>
        <v>0</v>
      </c>
      <c r="E122" s="912"/>
      <c r="F122" s="912"/>
      <c r="G122" s="913"/>
      <c r="H122" s="913"/>
      <c r="I122" s="913"/>
      <c r="J122" s="922">
        <v>0</v>
      </c>
    </row>
    <row r="123" spans="1:12" s="10" customFormat="1" ht="14.25" customHeight="1" thickBot="1">
      <c r="A123" s="286" t="s">
        <v>476</v>
      </c>
      <c r="B123" s="171"/>
      <c r="C123" s="1019">
        <v>2400000</v>
      </c>
      <c r="D123" s="1018">
        <f t="shared" si="24"/>
        <v>2400000</v>
      </c>
      <c r="E123" s="912"/>
      <c r="F123" s="912"/>
      <c r="G123" s="913"/>
      <c r="H123" s="913"/>
      <c r="I123" s="913"/>
      <c r="J123" s="922">
        <v>2400000</v>
      </c>
    </row>
    <row r="124" spans="1:12" s="9" customFormat="1" ht="14.25" customHeight="1" thickBot="1">
      <c r="A124" s="210" t="s">
        <v>29</v>
      </c>
      <c r="B124" s="175">
        <f>SUM(B117:B123)</f>
        <v>0</v>
      </c>
      <c r="C124" s="889">
        <f>SUM(C117:C123)</f>
        <v>8000000</v>
      </c>
      <c r="D124" s="889">
        <f t="shared" si="24"/>
        <v>8199450</v>
      </c>
      <c r="E124" s="925">
        <f t="shared" ref="E124:J124" si="26">SUM(E117:E123)</f>
        <v>0</v>
      </c>
      <c r="F124" s="925">
        <f t="shared" si="26"/>
        <v>0</v>
      </c>
      <c r="G124" s="926">
        <f t="shared" si="26"/>
        <v>0</v>
      </c>
      <c r="H124" s="926">
        <f t="shared" si="26"/>
        <v>0</v>
      </c>
      <c r="I124" s="926">
        <f t="shared" si="26"/>
        <v>0</v>
      </c>
      <c r="J124" s="927">
        <f t="shared" si="26"/>
        <v>8199450</v>
      </c>
    </row>
    <row r="125" spans="1:12" s="9" customFormat="1" ht="14.25" customHeight="1" thickBot="1">
      <c r="A125" s="211" t="s">
        <v>107</v>
      </c>
      <c r="B125" s="176"/>
      <c r="C125" s="903">
        <v>120316212</v>
      </c>
      <c r="D125" s="903">
        <f t="shared" si="24"/>
        <v>96549922</v>
      </c>
      <c r="E125" s="933"/>
      <c r="F125" s="933"/>
      <c r="G125" s="935"/>
      <c r="H125" s="935"/>
      <c r="I125" s="935"/>
      <c r="J125" s="950">
        <f>120316212-23697289-69001</f>
        <v>96549922</v>
      </c>
    </row>
    <row r="126" spans="1:12" s="11" customFormat="1" ht="14.25" customHeight="1" thickBot="1">
      <c r="A126" s="212" t="s">
        <v>30</v>
      </c>
      <c r="B126" s="182">
        <f>B99+B100+B101+B102+B114+B115+B116+B124+B125</f>
        <v>0</v>
      </c>
      <c r="C126" s="889">
        <v>449143629</v>
      </c>
      <c r="D126" s="889">
        <f t="shared" si="24"/>
        <v>444373762</v>
      </c>
      <c r="E126" s="914">
        <f t="shared" ref="E126:J126" si="27">E99+E100+E101+E102+E114+E115+E116+E124+E125</f>
        <v>0</v>
      </c>
      <c r="F126" s="914">
        <f t="shared" si="27"/>
        <v>0</v>
      </c>
      <c r="G126" s="915">
        <f t="shared" si="27"/>
        <v>0</v>
      </c>
      <c r="H126" s="915">
        <f t="shared" si="27"/>
        <v>0</v>
      </c>
      <c r="I126" s="915">
        <f t="shared" si="27"/>
        <v>0</v>
      </c>
      <c r="J126" s="916">
        <f t="shared" si="27"/>
        <v>444373762</v>
      </c>
      <c r="L126" s="558"/>
    </row>
    <row r="127" spans="1:12" s="9" customFormat="1" ht="14.25" customHeight="1" thickBot="1">
      <c r="A127" s="204" t="s">
        <v>31</v>
      </c>
      <c r="B127" s="176">
        <v>0</v>
      </c>
      <c r="C127" s="903">
        <v>0</v>
      </c>
      <c r="D127" s="903">
        <f t="shared" si="24"/>
        <v>0</v>
      </c>
      <c r="E127" s="933"/>
      <c r="F127" s="933"/>
      <c r="G127" s="935"/>
      <c r="H127" s="935"/>
      <c r="I127" s="935"/>
      <c r="J127" s="936"/>
    </row>
    <row r="128" spans="1:12" s="9" customFormat="1" ht="14.25" customHeight="1" thickBot="1">
      <c r="A128" s="199" t="s">
        <v>32</v>
      </c>
      <c r="B128" s="175"/>
      <c r="C128" s="889">
        <v>0</v>
      </c>
      <c r="D128" s="889">
        <f t="shared" si="24"/>
        <v>0</v>
      </c>
      <c r="E128" s="925"/>
      <c r="F128" s="925"/>
      <c r="G128" s="926"/>
      <c r="H128" s="926"/>
      <c r="I128" s="926"/>
      <c r="J128" s="927"/>
    </row>
    <row r="129" spans="1:10" s="9" customFormat="1" ht="14.25" customHeight="1" thickBot="1">
      <c r="A129" s="199" t="s">
        <v>259</v>
      </c>
      <c r="B129" s="175">
        <v>0</v>
      </c>
      <c r="C129" s="889">
        <v>0</v>
      </c>
      <c r="D129" s="889">
        <f t="shared" si="24"/>
        <v>0</v>
      </c>
      <c r="E129" s="925"/>
      <c r="F129" s="925"/>
      <c r="G129" s="926"/>
      <c r="H129" s="926"/>
      <c r="I129" s="926"/>
      <c r="J129" s="951"/>
    </row>
    <row r="130" spans="1:10" s="10" customFormat="1">
      <c r="A130" s="213" t="s">
        <v>684</v>
      </c>
      <c r="B130" s="172">
        <v>0</v>
      </c>
      <c r="C130" s="904">
        <v>70000000</v>
      </c>
      <c r="D130" s="904">
        <f t="shared" si="24"/>
        <v>70000000</v>
      </c>
      <c r="E130" s="917"/>
      <c r="F130" s="917"/>
      <c r="G130" s="918"/>
      <c r="H130" s="918"/>
      <c r="I130" s="918"/>
      <c r="J130" s="994">
        <v>70000000</v>
      </c>
    </row>
    <row r="131" spans="1:10" s="10" customFormat="1" ht="12.75">
      <c r="A131" s="1046" t="s">
        <v>853</v>
      </c>
      <c r="B131" s="172"/>
      <c r="C131" s="904"/>
      <c r="D131" s="904">
        <f t="shared" si="24"/>
        <v>6977497</v>
      </c>
      <c r="E131" s="917"/>
      <c r="F131" s="917"/>
      <c r="G131" s="918"/>
      <c r="H131" s="918"/>
      <c r="I131" s="918"/>
      <c r="J131" s="994">
        <v>6977497</v>
      </c>
    </row>
    <row r="132" spans="1:10" s="10" customFormat="1" ht="12.75">
      <c r="A132" s="1046" t="s">
        <v>854</v>
      </c>
      <c r="B132" s="172"/>
      <c r="C132" s="904"/>
      <c r="D132" s="904">
        <f t="shared" si="24"/>
        <v>5607200</v>
      </c>
      <c r="E132" s="917"/>
      <c r="F132" s="917"/>
      <c r="G132" s="918"/>
      <c r="H132" s="918"/>
      <c r="I132" s="918"/>
      <c r="J132" s="994">
        <v>5607200</v>
      </c>
    </row>
    <row r="133" spans="1:10" s="10" customFormat="1" ht="12.75" thickBot="1">
      <c r="A133" s="209" t="s">
        <v>655</v>
      </c>
      <c r="B133" s="170">
        <v>0</v>
      </c>
      <c r="C133" s="906">
        <v>13725000</v>
      </c>
      <c r="D133" s="906">
        <f t="shared" si="24"/>
        <v>13725000</v>
      </c>
      <c r="E133" s="910"/>
      <c r="F133" s="910"/>
      <c r="G133" s="911"/>
      <c r="H133" s="911"/>
      <c r="I133" s="911"/>
      <c r="J133" s="880">
        <v>13725000</v>
      </c>
    </row>
    <row r="134" spans="1:10" s="9" customFormat="1" ht="14.25" customHeight="1" thickBot="1">
      <c r="A134" s="199" t="s">
        <v>33</v>
      </c>
      <c r="B134" s="175">
        <v>0</v>
      </c>
      <c r="C134" s="889">
        <f>C130+C133</f>
        <v>83725000</v>
      </c>
      <c r="D134" s="889">
        <f t="shared" si="24"/>
        <v>96309697</v>
      </c>
      <c r="E134" s="925">
        <f t="shared" ref="E134:J134" si="28">SUM(E130:E133)</f>
        <v>0</v>
      </c>
      <c r="F134" s="925">
        <f t="shared" si="28"/>
        <v>0</v>
      </c>
      <c r="G134" s="926">
        <f t="shared" si="28"/>
        <v>0</v>
      </c>
      <c r="H134" s="926">
        <f t="shared" si="28"/>
        <v>0</v>
      </c>
      <c r="I134" s="926">
        <f t="shared" si="28"/>
        <v>0</v>
      </c>
      <c r="J134" s="927">
        <f t="shared" si="28"/>
        <v>96309697</v>
      </c>
    </row>
    <row r="135" spans="1:10" s="9" customFormat="1" ht="14.25" customHeight="1" thickBot="1">
      <c r="A135" s="199" t="s">
        <v>520</v>
      </c>
      <c r="B135" s="175">
        <v>0</v>
      </c>
      <c r="C135" s="889"/>
      <c r="D135" s="889">
        <f t="shared" si="24"/>
        <v>0</v>
      </c>
      <c r="E135" s="925"/>
      <c r="F135" s="925"/>
      <c r="G135" s="926"/>
      <c r="H135" s="926"/>
      <c r="I135" s="926"/>
      <c r="J135" s="927"/>
    </row>
    <row r="136" spans="1:10" s="10" customFormat="1" ht="12.75" thickBot="1">
      <c r="A136" s="195" t="s">
        <v>36</v>
      </c>
      <c r="B136" s="172"/>
      <c r="C136" s="1017">
        <v>2000000</v>
      </c>
      <c r="D136" s="1017">
        <f t="shared" si="24"/>
        <v>2000000</v>
      </c>
      <c r="E136" s="917">
        <v>2000000</v>
      </c>
      <c r="F136" s="917"/>
      <c r="G136" s="918"/>
      <c r="H136" s="918"/>
      <c r="I136" s="918"/>
      <c r="J136" s="883"/>
    </row>
    <row r="137" spans="1:10" s="10" customFormat="1" ht="14.25" hidden="1" customHeight="1" thickBot="1">
      <c r="A137" s="203"/>
      <c r="B137" s="171">
        <v>0</v>
      </c>
      <c r="C137" s="905">
        <v>0</v>
      </c>
      <c r="D137" s="905">
        <f>SUM(E137:J137)</f>
        <v>0</v>
      </c>
      <c r="E137" s="912"/>
      <c r="F137" s="912"/>
      <c r="G137" s="913"/>
      <c r="H137" s="913"/>
      <c r="I137" s="913"/>
      <c r="J137" s="884"/>
    </row>
    <row r="138" spans="1:10" s="9" customFormat="1" ht="14.25" customHeight="1" thickBot="1">
      <c r="A138" s="199" t="s">
        <v>34</v>
      </c>
      <c r="B138" s="175">
        <f>SUM(B136:B137)</f>
        <v>0</v>
      </c>
      <c r="C138" s="889">
        <v>2000000</v>
      </c>
      <c r="D138" s="889">
        <f t="shared" si="24"/>
        <v>2000000</v>
      </c>
      <c r="E138" s="925">
        <f t="shared" ref="E138:J138" si="29">SUM(E136:E137)</f>
        <v>2000000</v>
      </c>
      <c r="F138" s="925">
        <f t="shared" si="29"/>
        <v>0</v>
      </c>
      <c r="G138" s="926">
        <f t="shared" si="29"/>
        <v>0</v>
      </c>
      <c r="H138" s="926">
        <f t="shared" si="29"/>
        <v>0</v>
      </c>
      <c r="I138" s="926">
        <f t="shared" si="29"/>
        <v>0</v>
      </c>
      <c r="J138" s="927">
        <f t="shared" si="29"/>
        <v>0</v>
      </c>
    </row>
    <row r="139" spans="1:10" s="9" customFormat="1" ht="14.25" customHeight="1" thickBot="1">
      <c r="A139" s="199" t="s">
        <v>43</v>
      </c>
      <c r="B139" s="175">
        <v>0</v>
      </c>
      <c r="C139" s="889">
        <v>0</v>
      </c>
      <c r="D139" s="889">
        <f t="shared" si="24"/>
        <v>0</v>
      </c>
      <c r="E139" s="925"/>
      <c r="F139" s="925"/>
      <c r="G139" s="926"/>
      <c r="H139" s="926"/>
      <c r="I139" s="926"/>
      <c r="J139" s="927"/>
    </row>
    <row r="140" spans="1:10" s="10" customFormat="1" ht="12.75" thickBot="1">
      <c r="A140" s="213" t="s">
        <v>855</v>
      </c>
      <c r="B140" s="172"/>
      <c r="C140" s="904">
        <v>0</v>
      </c>
      <c r="D140" s="904">
        <f t="shared" si="24"/>
        <v>2535436</v>
      </c>
      <c r="E140" s="917"/>
      <c r="F140" s="917"/>
      <c r="G140" s="918"/>
      <c r="H140" s="918"/>
      <c r="I140" s="918"/>
      <c r="J140" s="883">
        <v>2535436</v>
      </c>
    </row>
    <row r="141" spans="1:10" s="10" customFormat="1" ht="14.25" hidden="1" customHeight="1" thickBot="1">
      <c r="A141" s="196"/>
      <c r="B141" s="170">
        <v>0</v>
      </c>
      <c r="C141" s="906">
        <v>0</v>
      </c>
      <c r="D141" s="906">
        <f t="shared" si="24"/>
        <v>0</v>
      </c>
      <c r="E141" s="910"/>
      <c r="F141" s="910"/>
      <c r="G141" s="911"/>
      <c r="H141" s="911"/>
      <c r="I141" s="911"/>
      <c r="J141" s="884"/>
    </row>
    <row r="142" spans="1:10" s="9" customFormat="1" ht="14.25" customHeight="1" thickBot="1">
      <c r="A142" s="210" t="s">
        <v>44</v>
      </c>
      <c r="B142" s="175">
        <f>SUM(B140:B141)</f>
        <v>0</v>
      </c>
      <c r="C142" s="889">
        <v>0</v>
      </c>
      <c r="D142" s="889">
        <f t="shared" si="24"/>
        <v>2535436</v>
      </c>
      <c r="E142" s="925">
        <f>SUM(E140:E141)</f>
        <v>0</v>
      </c>
      <c r="F142" s="925">
        <f>SUM(F140:F141)</f>
        <v>0</v>
      </c>
      <c r="G142" s="926">
        <f>SUM(G140:G141)</f>
        <v>0</v>
      </c>
      <c r="H142" s="926">
        <f>SUM(H140:H141)</f>
        <v>0</v>
      </c>
      <c r="I142" s="926">
        <f>SUM(I140:I141)</f>
        <v>0</v>
      </c>
      <c r="J142" s="927">
        <f>SUM(J140:J141)+J138</f>
        <v>2535436</v>
      </c>
    </row>
    <row r="143" spans="1:10" s="11" customFormat="1" ht="14.25" customHeight="1" thickBot="1">
      <c r="A143" s="212" t="s">
        <v>35</v>
      </c>
      <c r="B143" s="182">
        <f>B127+B128+B129+B134+B135+B138+B139+B142</f>
        <v>0</v>
      </c>
      <c r="C143" s="889">
        <v>85725000</v>
      </c>
      <c r="D143" s="889">
        <f t="shared" si="24"/>
        <v>100845133</v>
      </c>
      <c r="E143" s="914">
        <f>E127+E128+E129+E134+E135+E138+E139+E142</f>
        <v>2000000</v>
      </c>
      <c r="F143" s="914">
        <f>F127+F128+F129+F134+F135+F138+F139+F142</f>
        <v>0</v>
      </c>
      <c r="G143" s="915">
        <f>G127+G128+G129+G134+G135+G138+G139+G142</f>
        <v>0</v>
      </c>
      <c r="H143" s="915">
        <f>H127+H128+H129+H134+H135+H138+H139+H142</f>
        <v>0</v>
      </c>
      <c r="I143" s="915">
        <f>I127+I128+I129+I134+I135+I138+I139+I142</f>
        <v>0</v>
      </c>
      <c r="J143" s="916">
        <f>J134+J135+J142</f>
        <v>98845133</v>
      </c>
    </row>
    <row r="144" spans="1:10" s="10" customFormat="1">
      <c r="A144" s="213" t="s">
        <v>626</v>
      </c>
      <c r="B144" s="172"/>
      <c r="C144" s="883">
        <v>320825848</v>
      </c>
      <c r="D144" s="1017">
        <f t="shared" si="24"/>
        <v>320825848</v>
      </c>
      <c r="E144" s="917"/>
      <c r="F144" s="917"/>
      <c r="G144" s="918"/>
      <c r="H144" s="918"/>
      <c r="I144" s="918"/>
      <c r="J144" s="883">
        <v>320825848</v>
      </c>
    </row>
    <row r="145" spans="1:10" s="10" customFormat="1" ht="12" customHeight="1">
      <c r="A145" s="213" t="s">
        <v>357</v>
      </c>
      <c r="B145" s="172"/>
      <c r="C145" s="883">
        <v>232267856</v>
      </c>
      <c r="D145" s="1017">
        <f t="shared" si="24"/>
        <v>232267856</v>
      </c>
      <c r="E145" s="917"/>
      <c r="F145" s="917"/>
      <c r="G145" s="918"/>
      <c r="H145" s="918"/>
      <c r="I145" s="918"/>
      <c r="J145" s="883">
        <v>232267856</v>
      </c>
    </row>
    <row r="146" spans="1:10" s="10" customFormat="1" ht="12" customHeight="1">
      <c r="A146" s="196" t="s">
        <v>257</v>
      </c>
      <c r="B146" s="170"/>
      <c r="C146" s="884">
        <v>423742719</v>
      </c>
      <c r="D146" s="1018">
        <f t="shared" si="24"/>
        <v>469435767</v>
      </c>
      <c r="E146" s="910"/>
      <c r="F146" s="910"/>
      <c r="G146" s="911"/>
      <c r="H146" s="911"/>
      <c r="I146" s="911"/>
      <c r="J146" s="884">
        <f>423742719+45693048</f>
        <v>469435767</v>
      </c>
    </row>
    <row r="147" spans="1:10" s="10" customFormat="1" ht="12" customHeight="1">
      <c r="A147" s="196" t="s">
        <v>40</v>
      </c>
      <c r="B147" s="170"/>
      <c r="C147" s="884">
        <v>87124329</v>
      </c>
      <c r="D147" s="1018">
        <f t="shared" si="24"/>
        <v>87124329</v>
      </c>
      <c r="E147" s="910"/>
      <c r="F147" s="910"/>
      <c r="G147" s="911"/>
      <c r="H147" s="911"/>
      <c r="I147" s="911"/>
      <c r="J147" s="884">
        <v>87124329</v>
      </c>
    </row>
    <row r="148" spans="1:10" ht="12.75" thickBot="1">
      <c r="A148" s="206" t="s">
        <v>41</v>
      </c>
      <c r="B148" s="171"/>
      <c r="C148" s="922">
        <v>276705274</v>
      </c>
      <c r="D148" s="1019">
        <f t="shared" si="24"/>
        <v>276705274</v>
      </c>
      <c r="E148" s="912"/>
      <c r="F148" s="912"/>
      <c r="G148" s="913"/>
      <c r="H148" s="913"/>
      <c r="I148" s="913"/>
      <c r="J148" s="922">
        <v>276705274</v>
      </c>
    </row>
    <row r="149" spans="1:10" s="23" customFormat="1" ht="12.75" thickBot="1">
      <c r="A149" s="194" t="s">
        <v>153</v>
      </c>
      <c r="B149" s="182">
        <f>SUM(B144:B148)</f>
        <v>0</v>
      </c>
      <c r="C149" s="889">
        <f>SUM(C144:C148)</f>
        <v>1340666026</v>
      </c>
      <c r="D149" s="889">
        <f t="shared" si="24"/>
        <v>1386359074</v>
      </c>
      <c r="E149" s="914">
        <f t="shared" ref="E149:J149" si="30">SUM(E144:E148)</f>
        <v>0</v>
      </c>
      <c r="F149" s="914">
        <f t="shared" si="30"/>
        <v>0</v>
      </c>
      <c r="G149" s="915">
        <f t="shared" si="30"/>
        <v>0</v>
      </c>
      <c r="H149" s="915">
        <f t="shared" si="30"/>
        <v>0</v>
      </c>
      <c r="I149" s="915">
        <f t="shared" si="30"/>
        <v>0</v>
      </c>
      <c r="J149" s="916">
        <f t="shared" si="30"/>
        <v>1386359074</v>
      </c>
    </row>
    <row r="150" spans="1:10">
      <c r="B150" s="177"/>
      <c r="C150" s="177"/>
      <c r="D150" s="177"/>
      <c r="E150" s="177"/>
      <c r="F150" s="177"/>
      <c r="G150" s="177"/>
      <c r="H150" s="177"/>
      <c r="I150" s="177"/>
      <c r="J150" s="177"/>
    </row>
    <row r="151" spans="1:10">
      <c r="B151" s="7"/>
      <c r="C151" s="7"/>
      <c r="D151" s="7"/>
      <c r="E151" s="7"/>
      <c r="F151" s="7"/>
      <c r="G151" s="7"/>
      <c r="H151" s="7"/>
      <c r="I151" s="7"/>
      <c r="J151" s="7"/>
    </row>
    <row r="152" spans="1:10">
      <c r="B152" s="7"/>
      <c r="C152" s="7"/>
      <c r="D152" s="7"/>
      <c r="E152" s="7"/>
      <c r="F152" s="7"/>
      <c r="G152" s="7"/>
      <c r="H152" s="7"/>
      <c r="I152" s="7"/>
      <c r="J152" s="7"/>
    </row>
    <row r="153" spans="1:10">
      <c r="B153" s="7"/>
      <c r="C153" s="7"/>
      <c r="D153" s="7"/>
      <c r="E153" s="7"/>
      <c r="F153" s="7"/>
      <c r="G153" s="7"/>
      <c r="H153" s="7"/>
      <c r="I153" s="7"/>
      <c r="J153" s="7"/>
    </row>
    <row r="154" spans="1:10">
      <c r="B154" s="7"/>
      <c r="C154" s="7"/>
      <c r="D154" s="7"/>
      <c r="E154" s="7"/>
      <c r="F154" s="7"/>
      <c r="G154" s="7"/>
      <c r="H154" s="7"/>
      <c r="I154" s="7"/>
      <c r="J154" s="7"/>
    </row>
    <row r="155" spans="1:10">
      <c r="B155" s="7"/>
      <c r="C155" s="7"/>
      <c r="D155" s="7"/>
      <c r="E155" s="7"/>
      <c r="F155" s="7"/>
      <c r="G155" s="7"/>
      <c r="H155" s="7"/>
      <c r="I155" s="7"/>
      <c r="J155" s="7"/>
    </row>
    <row r="156" spans="1:10">
      <c r="B156" s="7"/>
      <c r="C156" s="7"/>
      <c r="D156" s="7"/>
      <c r="E156" s="7"/>
      <c r="F156" s="7"/>
      <c r="G156" s="7"/>
      <c r="H156" s="7"/>
      <c r="I156" s="7"/>
      <c r="J156" s="7"/>
    </row>
  </sheetData>
  <mergeCells count="1">
    <mergeCell ref="A3:J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5" firstPageNumber="0" orientation="landscape" r:id="rId1"/>
  <headerFooter alignWithMargins="0"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FE5F-CEDA-43CD-BEFD-B9D20D857B06}">
  <dimension ref="A1:L52"/>
  <sheetViews>
    <sheetView workbookViewId="0">
      <selection activeCell="H9" sqref="H9"/>
    </sheetView>
  </sheetViews>
  <sheetFormatPr defaultRowHeight="12.75"/>
  <cols>
    <col min="1" max="1" width="39.42578125" style="328" customWidth="1"/>
    <col min="2" max="3" width="13.5703125" style="328" customWidth="1"/>
    <col min="4" max="7" width="10.7109375" style="328" customWidth="1"/>
    <col min="8" max="8" width="11.85546875" style="328" customWidth="1"/>
    <col min="9" max="9" width="14.42578125" style="328" customWidth="1"/>
    <col min="10" max="10" width="10.42578125" style="328" bestFit="1" customWidth="1"/>
    <col min="11" max="11" width="14.5703125" style="328" bestFit="1" customWidth="1"/>
    <col min="12" max="16384" width="9.140625" style="328"/>
  </cols>
  <sheetData>
    <row r="1" spans="1:12" s="311" customFormat="1">
      <c r="A1" s="309" t="s">
        <v>233</v>
      </c>
      <c r="B1" s="310" t="str">
        <f>'bev-int'!B1</f>
        <v>melléklet a …/2024. (.  .) önkormányzati rendelethez</v>
      </c>
      <c r="C1" s="310"/>
      <c r="D1" s="310"/>
      <c r="E1" s="310"/>
      <c r="F1" s="310"/>
      <c r="G1" s="310"/>
      <c r="H1" s="310"/>
      <c r="I1" s="310"/>
    </row>
    <row r="2" spans="1:12" s="311" customFormat="1" ht="8.25" customHeight="1">
      <c r="B2" s="310"/>
      <c r="C2" s="310"/>
      <c r="D2" s="310"/>
      <c r="E2" s="310"/>
      <c r="F2" s="310"/>
      <c r="G2" s="310"/>
      <c r="H2" s="310"/>
      <c r="I2" s="310"/>
    </row>
    <row r="3" spans="1:12" s="310" customFormat="1">
      <c r="A3" s="1091" t="s">
        <v>691</v>
      </c>
      <c r="B3" s="1092"/>
      <c r="C3" s="1092"/>
      <c r="D3" s="1092"/>
      <c r="E3" s="1092"/>
      <c r="F3" s="1092"/>
      <c r="G3" s="1092"/>
      <c r="H3" s="1092"/>
      <c r="I3" s="1092"/>
    </row>
    <row r="4" spans="1:12" s="310" customFormat="1">
      <c r="A4" s="1091" t="s">
        <v>642</v>
      </c>
      <c r="B4" s="1092"/>
      <c r="C4" s="1092"/>
      <c r="D4" s="1092"/>
      <c r="E4" s="1092"/>
      <c r="F4" s="1092"/>
      <c r="G4" s="1092"/>
      <c r="H4" s="1092"/>
      <c r="I4" s="1092"/>
    </row>
    <row r="5" spans="1:12" s="311" customFormat="1" ht="12">
      <c r="A5" s="312"/>
      <c r="B5" s="312"/>
      <c r="C5" s="312"/>
      <c r="D5" s="312"/>
      <c r="E5" s="312"/>
      <c r="F5" s="312"/>
      <c r="G5" s="312"/>
      <c r="H5" s="312"/>
      <c r="I5" s="312"/>
    </row>
    <row r="6" spans="1:12" s="311" customFormat="1" ht="13.5" thickBot="1">
      <c r="B6" s="310"/>
      <c r="C6" s="310"/>
      <c r="D6" s="310"/>
      <c r="E6" s="310"/>
      <c r="F6" s="310"/>
      <c r="G6" s="310"/>
      <c r="H6" s="310"/>
      <c r="I6" s="560" t="s">
        <v>641</v>
      </c>
    </row>
    <row r="7" spans="1:12" s="316" customFormat="1" ht="61.5" customHeight="1" thickBot="1">
      <c r="A7" s="313" t="s">
        <v>55</v>
      </c>
      <c r="B7" s="406" t="s">
        <v>689</v>
      </c>
      <c r="C7" s="406" t="s">
        <v>842</v>
      </c>
      <c r="D7" s="1047" t="s">
        <v>515</v>
      </c>
      <c r="E7" s="1051" t="s">
        <v>330</v>
      </c>
      <c r="F7" s="1052" t="s">
        <v>57</v>
      </c>
      <c r="G7" s="1052" t="str">
        <f>'bev-int'!G7</f>
        <v>Kisbéri Gyöngyszem Óvoda és Bölcsőde</v>
      </c>
      <c r="H7" s="314" t="s">
        <v>229</v>
      </c>
      <c r="I7" s="315" t="s">
        <v>56</v>
      </c>
    </row>
    <row r="8" spans="1:12" s="320" customFormat="1" ht="13.5" thickBot="1">
      <c r="A8" s="319" t="s">
        <v>63</v>
      </c>
      <c r="B8" s="662">
        <v>1078799044</v>
      </c>
      <c r="C8" s="662">
        <f t="shared" ref="C8:C33" si="0">SUM(D8:I8)</f>
        <v>1088813277</v>
      </c>
      <c r="D8" s="671">
        <f>245539808+4257988</f>
        <v>249797796</v>
      </c>
      <c r="E8" s="671">
        <f>110581628</f>
        <v>110581628</v>
      </c>
      <c r="F8" s="671">
        <f>36278945+12136</f>
        <v>36291081</v>
      </c>
      <c r="G8" s="671">
        <f>212201909-8965</f>
        <v>212192944</v>
      </c>
      <c r="H8" s="671">
        <f>369521374+2682</f>
        <v>369524056</v>
      </c>
      <c r="I8" s="672">
        <f>104675380+5750392</f>
        <v>110425772</v>
      </c>
      <c r="K8" s="478"/>
    </row>
    <row r="9" spans="1:12" s="320" customFormat="1" ht="13.5" thickBot="1">
      <c r="A9" s="319" t="s">
        <v>106</v>
      </c>
      <c r="B9" s="662">
        <v>156773892</v>
      </c>
      <c r="C9" s="662">
        <f t="shared" si="0"/>
        <v>157653899</v>
      </c>
      <c r="D9" s="673">
        <f>34795035+473073</f>
        <v>35268108</v>
      </c>
      <c r="E9" s="671">
        <v>17058480</v>
      </c>
      <c r="F9" s="671">
        <v>6237775</v>
      </c>
      <c r="G9" s="671">
        <v>30552023</v>
      </c>
      <c r="H9" s="671">
        <v>54438629</v>
      </c>
      <c r="I9" s="672">
        <f>13691950+406934</f>
        <v>14098884</v>
      </c>
      <c r="K9" s="478"/>
    </row>
    <row r="10" spans="1:12" s="316" customFormat="1">
      <c r="A10" s="317" t="s">
        <v>133</v>
      </c>
      <c r="B10" s="663">
        <v>202486751</v>
      </c>
      <c r="C10" s="663">
        <f t="shared" si="0"/>
        <v>201512451</v>
      </c>
      <c r="D10" s="674">
        <f>3230000-64753</f>
        <v>3165247</v>
      </c>
      <c r="E10" s="675">
        <f>73495990-900000</f>
        <v>72595990</v>
      </c>
      <c r="F10" s="676">
        <f>3130000-12136</f>
        <v>3117864</v>
      </c>
      <c r="G10" s="676">
        <f>3385000-144850</f>
        <v>3240150</v>
      </c>
      <c r="H10" s="677">
        <v>99090800</v>
      </c>
      <c r="I10" s="678">
        <f>20154961+147439</f>
        <v>20302400</v>
      </c>
      <c r="K10" s="478"/>
    </row>
    <row r="11" spans="1:12" s="316" customFormat="1">
      <c r="A11" s="321" t="s">
        <v>281</v>
      </c>
      <c r="B11" s="663">
        <v>22441100</v>
      </c>
      <c r="C11" s="663">
        <f t="shared" si="0"/>
        <v>23418358</v>
      </c>
      <c r="D11" s="679">
        <f>14265970+137258</f>
        <v>14403228</v>
      </c>
      <c r="E11" s="680">
        <v>742000</v>
      </c>
      <c r="F11" s="681">
        <v>962000</v>
      </c>
      <c r="G11" s="681">
        <f>578000+40000</f>
        <v>618000</v>
      </c>
      <c r="H11" s="681">
        <v>1755572</v>
      </c>
      <c r="I11" s="682">
        <f>4137558+800000</f>
        <v>4937558</v>
      </c>
      <c r="K11" s="478"/>
    </row>
    <row r="12" spans="1:12" s="316" customFormat="1">
      <c r="A12" s="321" t="s">
        <v>134</v>
      </c>
      <c r="B12" s="663">
        <v>354476908</v>
      </c>
      <c r="C12" s="663">
        <f t="shared" si="0"/>
        <v>416783714</v>
      </c>
      <c r="D12" s="679">
        <f>16293366+4765782</f>
        <v>21059148</v>
      </c>
      <c r="E12" s="680">
        <f>33851560+991952</f>
        <v>34843512</v>
      </c>
      <c r="F12" s="681">
        <f>39594191+1986483</f>
        <v>41580674</v>
      </c>
      <c r="G12" s="681">
        <f>20221000+1094655</f>
        <v>21315655</v>
      </c>
      <c r="H12" s="681">
        <f>48470800+23686912</f>
        <v>72157712</v>
      </c>
      <c r="I12" s="683">
        <f>196045991+29781022</f>
        <v>225827013</v>
      </c>
      <c r="K12" s="478"/>
      <c r="L12" s="555"/>
    </row>
    <row r="13" spans="1:12" s="316" customFormat="1">
      <c r="A13" s="321" t="s">
        <v>135</v>
      </c>
      <c r="B13" s="663">
        <v>1515355</v>
      </c>
      <c r="C13" s="663">
        <f t="shared" si="0"/>
        <v>1601300</v>
      </c>
      <c r="D13" s="679">
        <f>1200000+65232</f>
        <v>1265232</v>
      </c>
      <c r="E13" s="680">
        <v>30000</v>
      </c>
      <c r="F13" s="681">
        <v>11748</v>
      </c>
      <c r="G13" s="681">
        <f>30005+8965</f>
        <v>38970</v>
      </c>
      <c r="H13" s="681">
        <v>55000</v>
      </c>
      <c r="I13" s="682">
        <v>200350</v>
      </c>
      <c r="K13" s="478"/>
      <c r="L13" s="555"/>
    </row>
    <row r="14" spans="1:12" s="316" customFormat="1" ht="13.5" thickBot="1">
      <c r="A14" s="318" t="s">
        <v>136</v>
      </c>
      <c r="B14" s="664">
        <v>549954591</v>
      </c>
      <c r="C14" s="664">
        <f t="shared" si="0"/>
        <v>589067569</v>
      </c>
      <c r="D14" s="684">
        <f>7828278+555466</f>
        <v>8383744</v>
      </c>
      <c r="E14" s="685">
        <f>30699770+24827</f>
        <v>30724597</v>
      </c>
      <c r="F14" s="686">
        <v>12543468</v>
      </c>
      <c r="G14" s="686">
        <f>6181337+45000</f>
        <v>6226337</v>
      </c>
      <c r="H14" s="686">
        <f>37376506+579944</f>
        <v>37956450</v>
      </c>
      <c r="I14" s="687">
        <f>455325232+37907741</f>
        <v>493232973</v>
      </c>
      <c r="K14" s="478"/>
      <c r="L14" s="555"/>
    </row>
    <row r="15" spans="1:12" s="320" customFormat="1" ht="13.5" thickBot="1">
      <c r="A15" s="319" t="s">
        <v>146</v>
      </c>
      <c r="B15" s="662">
        <f>SUM(B10:B14)</f>
        <v>1130874705</v>
      </c>
      <c r="C15" s="662">
        <f t="shared" si="0"/>
        <v>1232383392</v>
      </c>
      <c r="D15" s="688">
        <f t="shared" ref="D15:I15" si="1">SUM(D10:D14)</f>
        <v>48276599</v>
      </c>
      <c r="E15" s="688">
        <f t="shared" si="1"/>
        <v>138936099</v>
      </c>
      <c r="F15" s="688">
        <f t="shared" si="1"/>
        <v>58215754</v>
      </c>
      <c r="G15" s="688">
        <f t="shared" si="1"/>
        <v>31439112</v>
      </c>
      <c r="H15" s="688">
        <f t="shared" si="1"/>
        <v>211015534</v>
      </c>
      <c r="I15" s="662">
        <f t="shared" si="1"/>
        <v>744500294</v>
      </c>
      <c r="K15" s="478"/>
    </row>
    <row r="16" spans="1:12" s="320" customFormat="1" ht="13.5" thickBot="1">
      <c r="A16" s="322" t="s">
        <v>137</v>
      </c>
      <c r="B16" s="665">
        <v>8234700</v>
      </c>
      <c r="C16" s="665">
        <f t="shared" si="0"/>
        <v>8234700</v>
      </c>
      <c r="D16" s="689"/>
      <c r="E16" s="690">
        <v>0</v>
      </c>
      <c r="F16" s="691">
        <v>0</v>
      </c>
      <c r="G16" s="691">
        <v>0</v>
      </c>
      <c r="H16" s="691">
        <f>szoc_k_!G12</f>
        <v>270000</v>
      </c>
      <c r="I16" s="692">
        <f>szoc_k_!G20</f>
        <v>7964700</v>
      </c>
      <c r="K16" s="478"/>
    </row>
    <row r="17" spans="1:11" s="320" customFormat="1" ht="13.5" thickBot="1">
      <c r="A17" s="323" t="s">
        <v>138</v>
      </c>
      <c r="B17" s="662">
        <v>449143629</v>
      </c>
      <c r="C17" s="662">
        <f t="shared" si="0"/>
        <v>444373762</v>
      </c>
      <c r="D17" s="673">
        <f>b_k_ré!E99+b_k_ré!E114</f>
        <v>0</v>
      </c>
      <c r="E17" s="693">
        <f>b_k_ré!F126</f>
        <v>0</v>
      </c>
      <c r="F17" s="671">
        <f>b_k_ré!G99+b_k_ré!G114</f>
        <v>0</v>
      </c>
      <c r="G17" s="693">
        <f>b_k_ré!H99</f>
        <v>0</v>
      </c>
      <c r="H17" s="693">
        <f>b_k_ré!I126</f>
        <v>0</v>
      </c>
      <c r="I17" s="694">
        <f>b_k_ré!J126</f>
        <v>444373762</v>
      </c>
      <c r="J17" s="8"/>
      <c r="K17" s="478"/>
    </row>
    <row r="18" spans="1:11" s="320" customFormat="1">
      <c r="A18" s="324" t="s">
        <v>329</v>
      </c>
      <c r="B18" s="666">
        <f>B8+B9+B15+B16+B17</f>
        <v>2823825970</v>
      </c>
      <c r="C18" s="666">
        <f t="shared" ref="C18:I18" si="2">C8+C9+C15+C16+C17</f>
        <v>2931459030</v>
      </c>
      <c r="D18" s="666">
        <f t="shared" si="2"/>
        <v>333342503</v>
      </c>
      <c r="E18" s="666">
        <f t="shared" si="2"/>
        <v>266576207</v>
      </c>
      <c r="F18" s="666">
        <f t="shared" si="2"/>
        <v>100744610</v>
      </c>
      <c r="G18" s="666">
        <f t="shared" si="2"/>
        <v>274184079</v>
      </c>
      <c r="H18" s="666">
        <f t="shared" si="2"/>
        <v>635248219</v>
      </c>
      <c r="I18" s="666">
        <f t="shared" si="2"/>
        <v>1321363412</v>
      </c>
      <c r="K18" s="478"/>
    </row>
    <row r="19" spans="1:11" s="320" customFormat="1" ht="13.5" thickBot="1">
      <c r="A19" s="322" t="s">
        <v>65</v>
      </c>
      <c r="B19" s="665">
        <v>428932394</v>
      </c>
      <c r="C19" s="665">
        <f t="shared" si="0"/>
        <v>431896471</v>
      </c>
      <c r="D19" s="689">
        <f>beruh!H53</f>
        <v>7625400</v>
      </c>
      <c r="E19" s="690">
        <f>beruh!I53</f>
        <v>10197001</v>
      </c>
      <c r="F19" s="691">
        <f>beruh!L53</f>
        <v>287000</v>
      </c>
      <c r="G19" s="691">
        <f>beruh!N53</f>
        <v>3556000</v>
      </c>
      <c r="H19" s="691">
        <f>beruh!P53</f>
        <v>19035747</v>
      </c>
      <c r="I19" s="692">
        <f>beruh!F53</f>
        <v>391195323</v>
      </c>
      <c r="K19" s="478"/>
    </row>
    <row r="20" spans="1:11" s="320" customFormat="1" ht="13.5" thickBot="1">
      <c r="A20" s="319" t="s">
        <v>64</v>
      </c>
      <c r="B20" s="662">
        <v>3404873178</v>
      </c>
      <c r="C20" s="662">
        <f t="shared" si="0"/>
        <v>3358876760</v>
      </c>
      <c r="D20" s="673">
        <f>felúj!I40</f>
        <v>0</v>
      </c>
      <c r="E20" s="693">
        <f>felúj!K40</f>
        <v>949999</v>
      </c>
      <c r="F20" s="671">
        <f>felúj!M40</f>
        <v>0</v>
      </c>
      <c r="G20" s="671">
        <f>felúj!O40</f>
        <v>0</v>
      </c>
      <c r="H20" s="671">
        <f>felúj!Q40</f>
        <v>51753</v>
      </c>
      <c r="I20" s="672">
        <f>felúj!G40</f>
        <v>3357875008</v>
      </c>
      <c r="K20" s="478"/>
    </row>
    <row r="21" spans="1:11" s="320" customFormat="1" ht="13.5" thickBot="1">
      <c r="A21" s="322" t="s">
        <v>139</v>
      </c>
      <c r="B21" s="667">
        <v>85725000</v>
      </c>
      <c r="C21" s="667">
        <f t="shared" si="0"/>
        <v>100845133</v>
      </c>
      <c r="D21" s="691">
        <f>b_k_ré!E143</f>
        <v>2000000</v>
      </c>
      <c r="E21" s="691">
        <v>0</v>
      </c>
      <c r="F21" s="691">
        <v>0</v>
      </c>
      <c r="G21" s="691">
        <v>0</v>
      </c>
      <c r="H21" s="691">
        <v>0</v>
      </c>
      <c r="I21" s="692">
        <f>b_k_ré!J143</f>
        <v>98845133</v>
      </c>
      <c r="K21" s="478"/>
    </row>
    <row r="22" spans="1:11" s="316" customFormat="1" ht="13.5" thickBot="1">
      <c r="A22" s="319" t="s">
        <v>66</v>
      </c>
      <c r="B22" s="662">
        <f>B18+B19+B20+B21</f>
        <v>6743356542</v>
      </c>
      <c r="C22" s="662">
        <f t="shared" si="0"/>
        <v>6823077394</v>
      </c>
      <c r="D22" s="688">
        <f t="shared" ref="D22:I22" si="3">D8+D9+D15+D16+D17+D19+D20+D21</f>
        <v>342967903</v>
      </c>
      <c r="E22" s="688">
        <f t="shared" si="3"/>
        <v>277723207</v>
      </c>
      <c r="F22" s="671">
        <f t="shared" si="3"/>
        <v>101031610</v>
      </c>
      <c r="G22" s="671">
        <f t="shared" si="3"/>
        <v>277740079</v>
      </c>
      <c r="H22" s="671">
        <f t="shared" si="3"/>
        <v>654335719</v>
      </c>
      <c r="I22" s="672">
        <f t="shared" si="3"/>
        <v>5169278876</v>
      </c>
      <c r="K22" s="478"/>
    </row>
    <row r="23" spans="1:11" s="316" customFormat="1">
      <c r="A23" s="317" t="s">
        <v>151</v>
      </c>
      <c r="B23" s="663">
        <v>0</v>
      </c>
      <c r="C23" s="663">
        <f t="shared" si="0"/>
        <v>0</v>
      </c>
      <c r="D23" s="674"/>
      <c r="E23" s="675"/>
      <c r="F23" s="676"/>
      <c r="G23" s="676"/>
      <c r="H23" s="676"/>
      <c r="I23" s="678"/>
      <c r="K23" s="478"/>
    </row>
    <row r="24" spans="1:11" s="316" customFormat="1">
      <c r="A24" s="321" t="s">
        <v>152</v>
      </c>
      <c r="B24" s="663">
        <v>0</v>
      </c>
      <c r="C24" s="663">
        <f t="shared" si="0"/>
        <v>0</v>
      </c>
      <c r="D24" s="679"/>
      <c r="E24" s="680"/>
      <c r="F24" s="681"/>
      <c r="G24" s="681"/>
      <c r="H24" s="681"/>
      <c r="I24" s="682"/>
      <c r="K24" s="478"/>
    </row>
    <row r="25" spans="1:11" s="316" customFormat="1">
      <c r="A25" s="321" t="s">
        <v>37</v>
      </c>
      <c r="B25" s="663">
        <v>0</v>
      </c>
      <c r="C25" s="663">
        <f t="shared" si="0"/>
        <v>0</v>
      </c>
      <c r="D25" s="679"/>
      <c r="E25" s="680"/>
      <c r="F25" s="681"/>
      <c r="G25" s="681"/>
      <c r="H25" s="681"/>
      <c r="I25" s="682"/>
      <c r="K25" s="478"/>
    </row>
    <row r="26" spans="1:11" s="316" customFormat="1">
      <c r="A26" s="321" t="s">
        <v>222</v>
      </c>
      <c r="B26" s="663">
        <v>43376844</v>
      </c>
      <c r="C26" s="663">
        <f t="shared" si="0"/>
        <v>43376844</v>
      </c>
      <c r="D26" s="679"/>
      <c r="E26" s="680"/>
      <c r="F26" s="681"/>
      <c r="G26" s="681"/>
      <c r="H26" s="681"/>
      <c r="I26" s="682">
        <v>43376844</v>
      </c>
      <c r="K26" s="478"/>
    </row>
    <row r="27" spans="1:11" s="316" customFormat="1">
      <c r="A27" s="321" t="s">
        <v>153</v>
      </c>
      <c r="B27" s="663">
        <v>1340666026</v>
      </c>
      <c r="C27" s="663">
        <f t="shared" si="0"/>
        <v>1386359074</v>
      </c>
      <c r="D27" s="679"/>
      <c r="E27" s="680"/>
      <c r="F27" s="681"/>
      <c r="G27" s="681"/>
      <c r="H27" s="681"/>
      <c r="I27" s="682">
        <f>b_k_ré!J149</f>
        <v>1386359074</v>
      </c>
      <c r="K27" s="478"/>
    </row>
    <row r="28" spans="1:11" s="316" customFormat="1" ht="13.5" thickBot="1">
      <c r="A28" s="318" t="s">
        <v>443</v>
      </c>
      <c r="B28" s="664">
        <v>0</v>
      </c>
      <c r="C28" s="664">
        <f t="shared" si="0"/>
        <v>0</v>
      </c>
      <c r="D28" s="684"/>
      <c r="E28" s="685"/>
      <c r="F28" s="686"/>
      <c r="G28" s="686"/>
      <c r="H28" s="686"/>
      <c r="I28" s="695"/>
      <c r="K28" s="478"/>
    </row>
    <row r="29" spans="1:11" s="316" customFormat="1" ht="13.5" thickBot="1">
      <c r="A29" s="319" t="s">
        <v>155</v>
      </c>
      <c r="B29" s="668">
        <f>SUM(B23:B28)</f>
        <v>1384042870</v>
      </c>
      <c r="C29" s="668">
        <f t="shared" si="0"/>
        <v>1429735918</v>
      </c>
      <c r="D29" s="688">
        <f t="shared" ref="D29:I29" si="4">SUM(D23:D28)</f>
        <v>0</v>
      </c>
      <c r="E29" s="688">
        <f t="shared" si="4"/>
        <v>0</v>
      </c>
      <c r="F29" s="671">
        <f t="shared" si="4"/>
        <v>0</v>
      </c>
      <c r="G29" s="671">
        <f t="shared" si="4"/>
        <v>0</v>
      </c>
      <c r="H29" s="671">
        <f t="shared" si="4"/>
        <v>0</v>
      </c>
      <c r="I29" s="672">
        <f t="shared" si="4"/>
        <v>1429735918</v>
      </c>
      <c r="K29" s="478"/>
    </row>
    <row r="30" spans="1:11" s="320" customFormat="1" ht="13.5" thickBot="1">
      <c r="A30" s="319" t="s">
        <v>156</v>
      </c>
      <c r="B30" s="668">
        <v>0</v>
      </c>
      <c r="C30" s="668">
        <f t="shared" si="0"/>
        <v>0</v>
      </c>
      <c r="D30" s="673"/>
      <c r="E30" s="693"/>
      <c r="F30" s="671"/>
      <c r="G30" s="671"/>
      <c r="H30" s="671"/>
      <c r="I30" s="672"/>
      <c r="K30" s="478"/>
    </row>
    <row r="31" spans="1:11" s="320" customFormat="1" ht="13.5" thickBot="1">
      <c r="A31" s="322" t="s">
        <v>39</v>
      </c>
      <c r="B31" s="664">
        <v>0</v>
      </c>
      <c r="C31" s="664">
        <f t="shared" si="0"/>
        <v>0</v>
      </c>
      <c r="D31" s="689"/>
      <c r="E31" s="690"/>
      <c r="F31" s="691"/>
      <c r="G31" s="691"/>
      <c r="H31" s="691"/>
      <c r="I31" s="692"/>
      <c r="K31" s="478"/>
    </row>
    <row r="32" spans="1:11" s="320" customFormat="1" ht="13.5" thickBot="1">
      <c r="A32" s="325" t="s">
        <v>77</v>
      </c>
      <c r="B32" s="669">
        <f>B29+B30+B31</f>
        <v>1384042870</v>
      </c>
      <c r="C32" s="669">
        <f t="shared" si="0"/>
        <v>1429735918</v>
      </c>
      <c r="D32" s="696">
        <f t="shared" ref="D32:I32" si="5">D29+D30+D31</f>
        <v>0</v>
      </c>
      <c r="E32" s="696">
        <f t="shared" si="5"/>
        <v>0</v>
      </c>
      <c r="F32" s="697">
        <f t="shared" si="5"/>
        <v>0</v>
      </c>
      <c r="G32" s="697">
        <f t="shared" si="5"/>
        <v>0</v>
      </c>
      <c r="H32" s="697">
        <f t="shared" si="5"/>
        <v>0</v>
      </c>
      <c r="I32" s="698">
        <f t="shared" si="5"/>
        <v>1429735918</v>
      </c>
      <c r="K32" s="478"/>
    </row>
    <row r="33" spans="1:11" s="316" customFormat="1" ht="13.5" thickBot="1">
      <c r="A33" s="326" t="s">
        <v>67</v>
      </c>
      <c r="B33" s="670">
        <f>B22+B32</f>
        <v>8127399412</v>
      </c>
      <c r="C33" s="670">
        <f t="shared" si="0"/>
        <v>8252813312</v>
      </c>
      <c r="D33" s="699">
        <f t="shared" ref="D33:I33" si="6">D22+D32</f>
        <v>342967903</v>
      </c>
      <c r="E33" s="699">
        <f t="shared" si="6"/>
        <v>277723207</v>
      </c>
      <c r="F33" s="700">
        <f t="shared" si="6"/>
        <v>101031610</v>
      </c>
      <c r="G33" s="700">
        <f t="shared" si="6"/>
        <v>277740079</v>
      </c>
      <c r="H33" s="700">
        <f t="shared" si="6"/>
        <v>654335719</v>
      </c>
      <c r="I33" s="701">
        <f t="shared" si="6"/>
        <v>6599014794</v>
      </c>
      <c r="K33" s="478"/>
    </row>
    <row r="34" spans="1:11" s="311" customFormat="1">
      <c r="B34" s="310"/>
      <c r="C34" s="310"/>
      <c r="D34" s="310"/>
      <c r="E34" s="310"/>
      <c r="F34" s="310"/>
      <c r="G34" s="310"/>
      <c r="H34" s="310"/>
      <c r="I34" s="310"/>
    </row>
    <row r="35" spans="1:11" s="311" customFormat="1">
      <c r="B35" s="310"/>
      <c r="C35" s="310"/>
      <c r="D35" s="75"/>
      <c r="E35" s="75"/>
      <c r="F35" s="75"/>
      <c r="G35" s="75"/>
      <c r="H35" s="75"/>
      <c r="I35" s="75"/>
    </row>
    <row r="36" spans="1:11" s="311" customFormat="1">
      <c r="B36" s="310"/>
      <c r="C36" s="310"/>
      <c r="D36" s="327"/>
      <c r="E36" s="327"/>
      <c r="F36" s="327"/>
      <c r="G36" s="327"/>
      <c r="H36" s="327"/>
      <c r="I36" s="327"/>
    </row>
    <row r="37" spans="1:11" s="311" customFormat="1">
      <c r="B37" s="310"/>
      <c r="C37" s="327"/>
      <c r="D37" s="310"/>
      <c r="E37" s="310"/>
      <c r="F37" s="310"/>
      <c r="G37" s="310"/>
      <c r="H37" s="310"/>
      <c r="I37" s="327"/>
    </row>
    <row r="38" spans="1:11" s="311" customFormat="1">
      <c r="B38" s="310"/>
      <c r="C38" s="310"/>
      <c r="D38" s="310"/>
      <c r="E38" s="310"/>
      <c r="F38" s="327"/>
      <c r="G38" s="310"/>
      <c r="H38" s="310"/>
      <c r="I38" s="327"/>
    </row>
    <row r="39" spans="1:11" s="311" customFormat="1">
      <c r="B39" s="310"/>
      <c r="C39" s="310"/>
      <c r="D39" s="310"/>
      <c r="E39" s="310"/>
      <c r="F39" s="310"/>
      <c r="G39" s="310"/>
      <c r="H39" s="310"/>
      <c r="I39" s="327"/>
    </row>
    <row r="40" spans="1:11" s="311" customFormat="1">
      <c r="B40" s="310"/>
      <c r="C40" s="310"/>
      <c r="D40" s="310"/>
      <c r="E40" s="310"/>
      <c r="F40" s="310"/>
      <c r="G40" s="310"/>
      <c r="H40" s="310"/>
      <c r="I40" s="310"/>
    </row>
    <row r="41" spans="1:11" s="311" customFormat="1">
      <c r="B41" s="310"/>
      <c r="C41" s="310"/>
      <c r="D41" s="310"/>
      <c r="E41" s="310"/>
      <c r="F41" s="310"/>
      <c r="G41" s="310"/>
      <c r="H41" s="310"/>
      <c r="I41" s="310"/>
    </row>
    <row r="42" spans="1:11" s="311" customFormat="1">
      <c r="B42" s="310"/>
      <c r="C42" s="310"/>
      <c r="D42" s="310"/>
      <c r="E42" s="310"/>
      <c r="F42" s="310"/>
      <c r="G42" s="310"/>
      <c r="H42" s="310"/>
      <c r="I42" s="310"/>
    </row>
    <row r="43" spans="1:11" s="311" customFormat="1">
      <c r="B43" s="310"/>
      <c r="C43" s="310"/>
      <c r="D43" s="310"/>
      <c r="E43" s="310"/>
      <c r="F43" s="310"/>
      <c r="G43" s="310"/>
      <c r="H43" s="310"/>
      <c r="I43" s="310"/>
    </row>
    <row r="44" spans="1:11" s="311" customFormat="1">
      <c r="B44" s="310"/>
      <c r="C44" s="310"/>
      <c r="D44" s="310"/>
      <c r="E44" s="310"/>
      <c r="F44" s="310"/>
      <c r="G44" s="310"/>
      <c r="H44" s="310"/>
      <c r="I44" s="310"/>
    </row>
    <row r="45" spans="1:11" s="311" customFormat="1">
      <c r="B45" s="310"/>
      <c r="C45" s="310"/>
      <c r="D45" s="310"/>
      <c r="E45" s="310"/>
      <c r="F45" s="310"/>
      <c r="G45" s="310"/>
      <c r="H45" s="310"/>
      <c r="I45" s="310"/>
    </row>
    <row r="46" spans="1:11" s="311" customFormat="1">
      <c r="B46" s="310"/>
      <c r="C46" s="310"/>
      <c r="D46" s="310"/>
      <c r="E46" s="310"/>
      <c r="F46" s="310"/>
      <c r="G46" s="310"/>
      <c r="H46" s="310"/>
      <c r="I46" s="310"/>
    </row>
    <row r="47" spans="1:11" s="311" customFormat="1">
      <c r="B47" s="310"/>
      <c r="C47" s="310"/>
      <c r="D47" s="310"/>
      <c r="E47" s="310"/>
      <c r="F47" s="310"/>
      <c r="G47" s="310"/>
      <c r="H47" s="310"/>
      <c r="I47" s="310"/>
    </row>
    <row r="48" spans="1:11" s="311" customFormat="1">
      <c r="B48" s="310"/>
      <c r="C48" s="310"/>
      <c r="D48" s="310"/>
      <c r="E48" s="310"/>
      <c r="F48" s="310"/>
      <c r="G48" s="310"/>
      <c r="H48" s="310"/>
      <c r="I48" s="310"/>
    </row>
    <row r="49" spans="2:9" s="311" customFormat="1">
      <c r="B49" s="310"/>
      <c r="C49" s="310"/>
      <c r="D49" s="310"/>
      <c r="E49" s="310"/>
      <c r="F49" s="310"/>
      <c r="G49" s="310"/>
      <c r="H49" s="310"/>
      <c r="I49" s="310"/>
    </row>
    <row r="50" spans="2:9" s="311" customFormat="1">
      <c r="B50" s="310"/>
      <c r="C50" s="310"/>
      <c r="D50" s="310"/>
      <c r="E50" s="310"/>
      <c r="F50" s="310"/>
      <c r="G50" s="310"/>
      <c r="H50" s="310"/>
      <c r="I50" s="310"/>
    </row>
    <row r="51" spans="2:9" s="311" customFormat="1">
      <c r="B51" s="310"/>
      <c r="C51" s="310"/>
      <c r="D51" s="310"/>
      <c r="E51" s="310"/>
      <c r="F51" s="310"/>
      <c r="G51" s="310"/>
      <c r="H51" s="310"/>
      <c r="I51" s="310"/>
    </row>
    <row r="52" spans="2:9" s="311" customFormat="1">
      <c r="B52" s="310"/>
      <c r="C52" s="310"/>
      <c r="D52" s="310"/>
      <c r="E52" s="310"/>
      <c r="F52" s="310"/>
      <c r="G52" s="310"/>
      <c r="H52" s="310"/>
      <c r="I52" s="310"/>
    </row>
  </sheetData>
  <mergeCells count="2">
    <mergeCell ref="A3:I3"/>
    <mergeCell ref="A4:I4"/>
  </mergeCells>
  <phoneticPr fontId="1" type="noConversion"/>
  <pageMargins left="0.46" right="0.75" top="0.6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E875-C896-47AD-979D-151B63CCA1E3}">
  <dimension ref="A1:I30"/>
  <sheetViews>
    <sheetView workbookViewId="0">
      <selection activeCell="B38" sqref="B38"/>
    </sheetView>
  </sheetViews>
  <sheetFormatPr defaultRowHeight="12.75"/>
  <cols>
    <col min="1" max="1" width="69" style="13" customWidth="1"/>
    <col min="2" max="2" width="10.85546875" style="13" bestFit="1" customWidth="1"/>
    <col min="3" max="3" width="11.140625" style="13" customWidth="1"/>
    <col min="4" max="4" width="9.85546875" style="13" customWidth="1"/>
    <col min="5" max="6" width="9.140625" style="13"/>
    <col min="7" max="7" width="10.85546875" style="13" bestFit="1" customWidth="1"/>
    <col min="8" max="16384" width="9.140625" style="13"/>
  </cols>
  <sheetData>
    <row r="1" spans="1:7">
      <c r="B1" s="186" t="s">
        <v>340</v>
      </c>
      <c r="C1" s="1241" t="str">
        <f>'bev-int'!B1</f>
        <v>melléklet a …/2024. (.  .) önkormányzati rendelethez</v>
      </c>
      <c r="D1" s="1241"/>
      <c r="E1" s="1241"/>
      <c r="F1" s="1241"/>
      <c r="G1" s="1241"/>
    </row>
    <row r="6" spans="1:7" s="183" customFormat="1">
      <c r="B6" s="1246"/>
      <c r="C6" s="1246"/>
      <c r="D6" s="1246"/>
      <c r="E6" s="1246"/>
      <c r="F6" s="1246"/>
      <c r="G6" s="1246"/>
    </row>
    <row r="7" spans="1:7" customFormat="1">
      <c r="A7" s="1247" t="s">
        <v>792</v>
      </c>
      <c r="B7" s="1247"/>
      <c r="C7" s="1247"/>
      <c r="D7" s="1247"/>
      <c r="E7" s="1247"/>
      <c r="F7" s="1247"/>
      <c r="G7" s="1247"/>
    </row>
    <row r="8" spans="1:7" customFormat="1">
      <c r="A8" s="248"/>
      <c r="B8" s="248"/>
      <c r="C8" s="248"/>
      <c r="D8" s="248"/>
      <c r="E8" s="248"/>
      <c r="F8" s="1248"/>
      <c r="G8" s="1248"/>
    </row>
    <row r="9" spans="1:7" customFormat="1">
      <c r="A9" s="249"/>
      <c r="B9" s="249"/>
      <c r="C9" s="249"/>
      <c r="D9" s="249"/>
      <c r="E9" s="249"/>
      <c r="F9" s="249"/>
      <c r="G9" s="249"/>
    </row>
    <row r="10" spans="1:7" customFormat="1" ht="13.5" thickBot="1">
      <c r="A10" s="250"/>
      <c r="B10" s="1249" t="s">
        <v>645</v>
      </c>
      <c r="C10" s="1249"/>
      <c r="D10" s="1249"/>
      <c r="E10" s="1249"/>
      <c r="F10" s="1249"/>
      <c r="G10" s="1249"/>
    </row>
    <row r="11" spans="1:7" customFormat="1">
      <c r="A11" s="1250" t="s">
        <v>55</v>
      </c>
      <c r="B11" s="1236">
        <v>2024</v>
      </c>
      <c r="C11" s="1236">
        <v>2025</v>
      </c>
      <c r="D11" s="1236">
        <v>2026</v>
      </c>
      <c r="E11" s="1236">
        <v>2027</v>
      </c>
      <c r="F11" s="1239" t="s">
        <v>378</v>
      </c>
      <c r="G11" s="1244" t="s">
        <v>71</v>
      </c>
    </row>
    <row r="12" spans="1:7" customFormat="1">
      <c r="A12" s="1251"/>
      <c r="B12" s="1238"/>
      <c r="C12" s="1238"/>
      <c r="D12" s="1237"/>
      <c r="E12" s="1237"/>
      <c r="F12" s="1240"/>
      <c r="G12" s="1245"/>
    </row>
    <row r="13" spans="1:7" customFormat="1">
      <c r="A13" s="251"/>
      <c r="B13" s="160"/>
      <c r="C13" s="160"/>
      <c r="D13" s="160"/>
      <c r="E13" s="160"/>
      <c r="F13" s="160"/>
      <c r="G13" s="252"/>
    </row>
    <row r="14" spans="1:7" customFormat="1">
      <c r="A14" s="253"/>
      <c r="B14" s="240"/>
      <c r="C14" s="240"/>
      <c r="D14" s="240"/>
      <c r="E14" s="240"/>
      <c r="F14" s="240"/>
      <c r="G14" s="239"/>
    </row>
    <row r="15" spans="1:7" customFormat="1">
      <c r="A15" s="571" t="s">
        <v>379</v>
      </c>
      <c r="B15" s="240">
        <v>19050</v>
      </c>
      <c r="C15" s="240">
        <v>5715</v>
      </c>
      <c r="D15" s="240">
        <v>5715</v>
      </c>
      <c r="E15" s="240">
        <v>5715</v>
      </c>
      <c r="F15" s="240">
        <v>5715</v>
      </c>
      <c r="G15" s="239">
        <f t="shared" ref="G15:G20" si="0">SUM(B15:F15)</f>
        <v>41910</v>
      </c>
    </row>
    <row r="16" spans="1:7" customFormat="1">
      <c r="A16" s="571" t="s">
        <v>685</v>
      </c>
      <c r="B16" s="240">
        <v>25000</v>
      </c>
      <c r="C16" s="240">
        <v>131750</v>
      </c>
      <c r="D16" s="240">
        <v>25000</v>
      </c>
      <c r="E16" s="240"/>
      <c r="F16" s="240"/>
      <c r="G16" s="239">
        <f t="shared" si="0"/>
        <v>181750</v>
      </c>
    </row>
    <row r="17" spans="1:9" customFormat="1">
      <c r="A17" s="572" t="s">
        <v>686</v>
      </c>
      <c r="B17" s="241">
        <v>145000</v>
      </c>
      <c r="C17" s="241">
        <v>109065</v>
      </c>
      <c r="D17" s="241"/>
      <c r="E17" s="241"/>
      <c r="F17" s="241"/>
      <c r="G17" s="239">
        <f t="shared" si="0"/>
        <v>254065</v>
      </c>
    </row>
    <row r="18" spans="1:9" customFormat="1">
      <c r="A18" s="242" t="s">
        <v>833</v>
      </c>
      <c r="B18" s="241">
        <v>30000</v>
      </c>
      <c r="C18" s="241">
        <v>40000</v>
      </c>
      <c r="D18" s="241">
        <v>79913</v>
      </c>
      <c r="E18" s="241"/>
      <c r="F18" s="241"/>
      <c r="G18" s="239">
        <f t="shared" si="0"/>
        <v>149913</v>
      </c>
    </row>
    <row r="19" spans="1:9" customFormat="1" ht="12.75" customHeight="1">
      <c r="A19" s="242" t="s">
        <v>834</v>
      </c>
      <c r="B19" s="241">
        <v>40000</v>
      </c>
      <c r="C19" s="241">
        <v>105000</v>
      </c>
      <c r="D19" s="241">
        <v>83785</v>
      </c>
      <c r="E19" s="241"/>
      <c r="F19" s="241"/>
      <c r="G19" s="239">
        <f t="shared" si="0"/>
        <v>228785</v>
      </c>
    </row>
    <row r="20" spans="1:9" customFormat="1" ht="12.75" customHeight="1">
      <c r="A20" s="243"/>
      <c r="B20" s="241"/>
      <c r="C20" s="241"/>
      <c r="D20" s="241"/>
      <c r="E20" s="241"/>
      <c r="F20" s="241"/>
      <c r="G20" s="239">
        <f t="shared" si="0"/>
        <v>0</v>
      </c>
    </row>
    <row r="21" spans="1:9" customFormat="1">
      <c r="A21" s="244" t="s">
        <v>362</v>
      </c>
      <c r="B21" s="245">
        <f t="shared" ref="B21:G21" si="1">SUM(B14:B20)</f>
        <v>259050</v>
      </c>
      <c r="C21" s="245">
        <f t="shared" si="1"/>
        <v>391530</v>
      </c>
      <c r="D21" s="245">
        <f t="shared" si="1"/>
        <v>194413</v>
      </c>
      <c r="E21" s="245">
        <f t="shared" si="1"/>
        <v>5715</v>
      </c>
      <c r="F21" s="245">
        <f t="shared" si="1"/>
        <v>5715</v>
      </c>
      <c r="G21" s="246">
        <f t="shared" si="1"/>
        <v>856423</v>
      </c>
      <c r="H21" s="184"/>
      <c r="I21" s="184"/>
    </row>
    <row r="22" spans="1:9" customFormat="1">
      <c r="A22" s="244"/>
      <c r="B22" s="245"/>
      <c r="C22" s="245"/>
      <c r="D22" s="245"/>
      <c r="E22" s="245"/>
      <c r="F22" s="245"/>
      <c r="G22" s="246"/>
    </row>
    <row r="23" spans="1:9" customFormat="1">
      <c r="A23" s="243" t="s">
        <v>363</v>
      </c>
      <c r="B23" s="240">
        <v>1837</v>
      </c>
      <c r="C23" s="240">
        <v>1700</v>
      </c>
      <c r="D23" s="240">
        <v>1510</v>
      </c>
      <c r="E23" s="240">
        <v>1100</v>
      </c>
      <c r="F23" s="240">
        <v>1100</v>
      </c>
      <c r="G23" s="239">
        <f>SUM(B23:F23)</f>
        <v>7247</v>
      </c>
    </row>
    <row r="24" spans="1:9" customFormat="1">
      <c r="A24" s="243"/>
      <c r="B24" s="240"/>
      <c r="C24" s="240"/>
      <c r="D24" s="240"/>
      <c r="E24" s="240"/>
      <c r="F24" s="240"/>
      <c r="G24" s="239">
        <f>SUM(B24:F24)</f>
        <v>0</v>
      </c>
    </row>
    <row r="25" spans="1:9" customFormat="1">
      <c r="A25" s="244" t="s">
        <v>364</v>
      </c>
      <c r="B25" s="245">
        <f t="shared" ref="B25:G25" si="2">SUM(B23:B24)</f>
        <v>1837</v>
      </c>
      <c r="C25" s="245">
        <f t="shared" si="2"/>
        <v>1700</v>
      </c>
      <c r="D25" s="245">
        <f t="shared" si="2"/>
        <v>1510</v>
      </c>
      <c r="E25" s="245">
        <f t="shared" si="2"/>
        <v>1100</v>
      </c>
      <c r="F25" s="245">
        <f t="shared" si="2"/>
        <v>1100</v>
      </c>
      <c r="G25" s="246">
        <f t="shared" si="2"/>
        <v>7247</v>
      </c>
      <c r="H25" s="184"/>
      <c r="I25" s="184"/>
    </row>
    <row r="26" spans="1:9" customFormat="1">
      <c r="A26" s="243"/>
      <c r="B26" s="240"/>
      <c r="C26" s="240"/>
      <c r="D26" s="240"/>
      <c r="E26" s="240"/>
      <c r="F26" s="240"/>
      <c r="G26" s="247"/>
    </row>
    <row r="27" spans="1:9" customFormat="1">
      <c r="A27" s="1232" t="s">
        <v>365</v>
      </c>
      <c r="B27" s="1234">
        <f t="shared" ref="B27:G27" si="3">SUM(B21-B25)</f>
        <v>257213</v>
      </c>
      <c r="C27" s="1234">
        <f t="shared" si="3"/>
        <v>389830</v>
      </c>
      <c r="D27" s="1234">
        <f t="shared" si="3"/>
        <v>192903</v>
      </c>
      <c r="E27" s="1234">
        <f t="shared" si="3"/>
        <v>4615</v>
      </c>
      <c r="F27" s="1234">
        <f t="shared" si="3"/>
        <v>4615</v>
      </c>
      <c r="G27" s="1242">
        <f t="shared" si="3"/>
        <v>849176</v>
      </c>
    </row>
    <row r="28" spans="1:9" customFormat="1" ht="13.5" thickBot="1">
      <c r="A28" s="1233"/>
      <c r="B28" s="1235"/>
      <c r="C28" s="1235"/>
      <c r="D28" s="1235"/>
      <c r="E28" s="1235"/>
      <c r="F28" s="1235"/>
      <c r="G28" s="1243"/>
    </row>
    <row r="29" spans="1:9" customFormat="1">
      <c r="A29" s="158"/>
      <c r="B29" s="158"/>
      <c r="C29" s="158"/>
      <c r="D29" s="158"/>
      <c r="E29" s="158"/>
      <c r="F29" s="158"/>
      <c r="G29" s="158"/>
    </row>
    <row r="30" spans="1:9">
      <c r="A30" s="187"/>
      <c r="B30" s="187"/>
      <c r="C30" s="187"/>
      <c r="D30" s="187"/>
      <c r="E30" s="187"/>
      <c r="F30" s="187"/>
      <c r="G30" s="187"/>
    </row>
  </sheetData>
  <mergeCells count="19">
    <mergeCell ref="F11:F12"/>
    <mergeCell ref="C1:G1"/>
    <mergeCell ref="G27:G28"/>
    <mergeCell ref="F27:F28"/>
    <mergeCell ref="G11:G12"/>
    <mergeCell ref="B6:G6"/>
    <mergeCell ref="A7:G7"/>
    <mergeCell ref="F8:G8"/>
    <mergeCell ref="B10:G10"/>
    <mergeCell ref="A11:A12"/>
    <mergeCell ref="A27:A28"/>
    <mergeCell ref="B27:B28"/>
    <mergeCell ref="C27:C28"/>
    <mergeCell ref="D27:D28"/>
    <mergeCell ref="E27:E28"/>
    <mergeCell ref="D11:D12"/>
    <mergeCell ref="E11:E12"/>
    <mergeCell ref="B11:B12"/>
    <mergeCell ref="C11:C1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896B-7E00-4959-B4E6-DEB9DA1A6CB7}">
  <dimension ref="A3:F40"/>
  <sheetViews>
    <sheetView tabSelected="1" workbookViewId="0">
      <selection activeCell="D44" sqref="D44"/>
    </sheetView>
  </sheetViews>
  <sheetFormatPr defaultRowHeight="12.75"/>
  <cols>
    <col min="1" max="1" width="48.28515625" style="16" customWidth="1"/>
    <col min="2" max="2" width="12.7109375" style="16" customWidth="1"/>
    <col min="3" max="3" width="14.140625" style="16" customWidth="1"/>
    <col min="4" max="4" width="45.7109375" style="16" customWidth="1"/>
    <col min="5" max="5" width="13.140625" style="16" bestFit="1" customWidth="1"/>
    <col min="6" max="6" width="13.140625" style="16" customWidth="1"/>
    <col min="7" max="16384" width="9.140625" style="16"/>
  </cols>
  <sheetData>
    <row r="3" spans="1:6">
      <c r="B3" s="283"/>
      <c r="C3" s="283" t="s">
        <v>323</v>
      </c>
      <c r="D3" s="16" t="str">
        <f>'bev-int'!B1</f>
        <v>melléklet a …/2024. (.  .) önkormányzati rendelethez</v>
      </c>
    </row>
    <row r="5" spans="1:6">
      <c r="A5" s="1252" t="s">
        <v>693</v>
      </c>
      <c r="B5" s="1252"/>
      <c r="C5" s="1252"/>
      <c r="D5" s="1252"/>
      <c r="E5" s="1252"/>
      <c r="F5" s="1252"/>
    </row>
    <row r="6" spans="1:6">
      <c r="B6" s="24"/>
      <c r="C6" s="24"/>
      <c r="D6" s="24"/>
    </row>
    <row r="7" spans="1:6" ht="13.5" thickBot="1">
      <c r="E7" s="40"/>
      <c r="F7" s="283" t="s">
        <v>641</v>
      </c>
    </row>
    <row r="8" spans="1:6" ht="26.25" thickBot="1">
      <c r="A8" s="38" t="s">
        <v>91</v>
      </c>
      <c r="B8" s="43" t="s">
        <v>694</v>
      </c>
      <c r="C8" s="43" t="s">
        <v>843</v>
      </c>
      <c r="D8" s="38" t="s">
        <v>94</v>
      </c>
      <c r="E8" s="43" t="s">
        <v>694</v>
      </c>
      <c r="F8" s="43" t="s">
        <v>843</v>
      </c>
    </row>
    <row r="9" spans="1:6" s="24" customFormat="1">
      <c r="A9" s="120" t="str">
        <f>'bev-int'!A15</f>
        <v>Működési célú támogatások ÁH belülről</v>
      </c>
      <c r="B9" s="120">
        <f>'bev-int'!B15</f>
        <v>1250511860</v>
      </c>
      <c r="C9" s="120">
        <f>'bev-int'!C15</f>
        <v>1336477953.2</v>
      </c>
      <c r="D9" s="120" t="str">
        <f>'kiad-int'!A8</f>
        <v>Személyi juttatások</v>
      </c>
      <c r="E9" s="115">
        <f>'kiad-int'!B8</f>
        <v>1078799044</v>
      </c>
      <c r="F9" s="115">
        <f>'kiad-int'!C8</f>
        <v>1088813277</v>
      </c>
    </row>
    <row r="10" spans="1:6" s="24" customFormat="1">
      <c r="A10" s="118" t="str">
        <f>'bev-int'!A21</f>
        <v>Felhalmozási célú támogatások ÁH belülről</v>
      </c>
      <c r="B10" s="118">
        <f>'bev-int'!B21</f>
        <v>1588396538</v>
      </c>
      <c r="C10" s="118">
        <f>'bev-int'!C21</f>
        <v>1588396538</v>
      </c>
      <c r="D10" s="118" t="str">
        <f>'kiad-int'!A9</f>
        <v>Munkaadókat terhelő járulékok</v>
      </c>
      <c r="E10" s="116">
        <f>'kiad-int'!B9</f>
        <v>156773892</v>
      </c>
      <c r="F10" s="116">
        <f>'kiad-int'!C9</f>
        <v>157653899</v>
      </c>
    </row>
    <row r="11" spans="1:6" s="24" customFormat="1">
      <c r="A11" s="118" t="str">
        <f>'bev-int'!A26</f>
        <v>Közhatalmi bevételek</v>
      </c>
      <c r="B11" s="118">
        <f>'bev-int'!B26</f>
        <v>400767020</v>
      </c>
      <c r="C11" s="118">
        <f>'bev-int'!C26</f>
        <v>400767020</v>
      </c>
      <c r="D11" s="118" t="str">
        <f>'kiad-int'!A10</f>
        <v>Készletbeszerzés</v>
      </c>
      <c r="E11" s="116">
        <f>'kiad-int'!B10</f>
        <v>202486751</v>
      </c>
      <c r="F11" s="116">
        <f>'kiad-int'!C10</f>
        <v>201512451</v>
      </c>
    </row>
    <row r="12" spans="1:6" s="24" customFormat="1">
      <c r="A12" s="118" t="str">
        <f>'bev-int'!A27</f>
        <v>Működési bevételek</v>
      </c>
      <c r="B12" s="118">
        <f>'bev-int'!B27</f>
        <v>455525845</v>
      </c>
      <c r="C12" s="118">
        <f>'bev-int'!C27</f>
        <v>455525845</v>
      </c>
      <c r="D12" s="118" t="str">
        <f>'kiad-int'!A11</f>
        <v>Kommunikációs szolgáltatások</v>
      </c>
      <c r="E12" s="116">
        <f>'kiad-int'!B11</f>
        <v>22441100</v>
      </c>
      <c r="F12" s="116">
        <f>'kiad-int'!C11</f>
        <v>23418358</v>
      </c>
    </row>
    <row r="13" spans="1:6" s="24" customFormat="1">
      <c r="A13" s="118" t="str">
        <f>'bev-int'!A28</f>
        <v>Felhalmozási bevételek</v>
      </c>
      <c r="B13" s="118">
        <f>'bev-int'!B28</f>
        <v>0</v>
      </c>
      <c r="C13" s="118">
        <f>'bev-int'!C28</f>
        <v>0</v>
      </c>
      <c r="D13" s="118" t="str">
        <f>'kiad-int'!A12</f>
        <v>Szolgáltatási kiadások</v>
      </c>
      <c r="E13" s="116">
        <f>'kiad-int'!B12</f>
        <v>354476908</v>
      </c>
      <c r="F13" s="116">
        <f>'kiad-int'!C12</f>
        <v>416783714</v>
      </c>
    </row>
    <row r="14" spans="1:6" s="24" customFormat="1">
      <c r="A14" s="118" t="str">
        <f>'bev-int'!A29</f>
        <v>Működési célú átvett pénzeszközök</v>
      </c>
      <c r="B14" s="118">
        <f>'bev-int'!B29</f>
        <v>39694923</v>
      </c>
      <c r="C14" s="118">
        <f>'bev-int'!C29</f>
        <v>15539847</v>
      </c>
      <c r="D14" s="118" t="str">
        <f>'kiad-int'!A13</f>
        <v>Kiküldetés, reklám- és propagamda kiadások</v>
      </c>
      <c r="E14" s="116">
        <f>'kiad-int'!B13</f>
        <v>1515355</v>
      </c>
      <c r="F14" s="116">
        <f>'kiad-int'!C13</f>
        <v>1601300</v>
      </c>
    </row>
    <row r="15" spans="1:6" s="24" customFormat="1">
      <c r="A15" s="118" t="str">
        <f>'bev-int'!A30</f>
        <v>Felhalmozási célú átvett pénzeszközök</v>
      </c>
      <c r="B15" s="118">
        <f>'bev-int'!B30</f>
        <v>1837200</v>
      </c>
      <c r="C15" s="118">
        <f>'bev-int'!C30</f>
        <v>1837200</v>
      </c>
      <c r="D15" s="118" t="str">
        <f>'kiad-int'!A14</f>
        <v>Különféle befizetések és egyéb dologi kiadások</v>
      </c>
      <c r="E15" s="116">
        <f>'kiad-int'!B14</f>
        <v>549954591</v>
      </c>
      <c r="F15" s="116">
        <f>'kiad-int'!C14</f>
        <v>589067569</v>
      </c>
    </row>
    <row r="16" spans="1:6" s="24" customFormat="1">
      <c r="A16" s="118"/>
      <c r="B16" s="118"/>
      <c r="C16" s="118"/>
      <c r="D16" s="118" t="str">
        <f>'kiad-int'!A16</f>
        <v>Ellátottak pénzbeli juttatásai</v>
      </c>
      <c r="E16" s="116">
        <f>'kiad-int'!B16</f>
        <v>8234700</v>
      </c>
      <c r="F16" s="116">
        <f>'kiad-int'!C16</f>
        <v>8234700</v>
      </c>
    </row>
    <row r="17" spans="1:6" s="24" customFormat="1">
      <c r="A17" s="118"/>
      <c r="B17" s="118"/>
      <c r="C17" s="118"/>
      <c r="D17" s="118" t="str">
        <f>'kiad-int'!A17</f>
        <v>Egyéb működési célú kiadások</v>
      </c>
      <c r="E17" s="116">
        <f>'kiad-int'!B17</f>
        <v>449143629</v>
      </c>
      <c r="F17" s="116">
        <f>'kiad-int'!C17</f>
        <v>444373762</v>
      </c>
    </row>
    <row r="18" spans="1:6" s="24" customFormat="1">
      <c r="A18" s="118"/>
      <c r="B18" s="118"/>
      <c r="C18" s="118"/>
      <c r="D18" s="118" t="str">
        <f>'kiad-int'!A19</f>
        <v>Beruházások</v>
      </c>
      <c r="E18" s="116">
        <f>'kiad-int'!B19</f>
        <v>428932394</v>
      </c>
      <c r="F18" s="116">
        <f>'kiad-int'!C19</f>
        <v>431896471</v>
      </c>
    </row>
    <row r="19" spans="1:6" s="24" customFormat="1">
      <c r="A19" s="123"/>
      <c r="B19" s="123"/>
      <c r="C19" s="123"/>
      <c r="D19" s="123" t="str">
        <f>'kiad-int'!A20</f>
        <v>Felújítások</v>
      </c>
      <c r="E19" s="116">
        <f>'kiad-int'!B20</f>
        <v>3404873178</v>
      </c>
      <c r="F19" s="116">
        <f>'kiad-int'!C20</f>
        <v>3358876760</v>
      </c>
    </row>
    <row r="20" spans="1:6" s="24" customFormat="1">
      <c r="A20" s="123"/>
      <c r="B20" s="123"/>
      <c r="C20" s="123"/>
      <c r="D20" s="123" t="str">
        <f>'kiad-int'!A21</f>
        <v>Egyéb felhalmozási célú kiadások</v>
      </c>
      <c r="E20" s="117">
        <f>'kiad-int'!B21</f>
        <v>85725000</v>
      </c>
      <c r="F20" s="117">
        <f>'kiad-int'!C21</f>
        <v>100845133</v>
      </c>
    </row>
    <row r="21" spans="1:6" s="24" customFormat="1" ht="13.5" thickBot="1">
      <c r="A21" s="25"/>
      <c r="B21" s="25"/>
      <c r="C21" s="25"/>
      <c r="D21" s="25"/>
      <c r="E21" s="25"/>
      <c r="F21" s="25"/>
    </row>
    <row r="22" spans="1:6" ht="13.5" thickBot="1">
      <c r="A22" s="29" t="str">
        <f>'bev-int'!A31</f>
        <v>Költségvetési bevételek:</v>
      </c>
      <c r="B22" s="29">
        <f>SUM(B9:B21)</f>
        <v>3736733386</v>
      </c>
      <c r="C22" s="29">
        <f>SUM(C9:C21)</f>
        <v>3798544403.1999998</v>
      </c>
      <c r="D22" s="29" t="str">
        <f>'kiad-int'!A22</f>
        <v>Költségvetési kiadások:</v>
      </c>
      <c r="E22" s="29">
        <f>SUM(E9:E21)</f>
        <v>6743356542</v>
      </c>
      <c r="F22" s="29">
        <f>SUM(F9:F21)</f>
        <v>6823077394</v>
      </c>
    </row>
    <row r="23" spans="1:6">
      <c r="A23" s="26" t="str">
        <f>'bev-int'!A32</f>
        <v>Hitel, kölcsönfelvétel ÁH kívülről</v>
      </c>
      <c r="B23" s="26">
        <f>'bev-int'!B32</f>
        <v>0</v>
      </c>
      <c r="C23" s="26">
        <f>'bev-int'!C32</f>
        <v>0</v>
      </c>
      <c r="D23" s="26" t="str">
        <f>'kiad-int'!A23</f>
        <v>Hitel, kölcsöntörlesztés ÁH kívülre</v>
      </c>
      <c r="E23" s="26">
        <f>'kiad-int'!B23</f>
        <v>0</v>
      </c>
      <c r="F23" s="26">
        <f>'kiad-int'!C23</f>
        <v>0</v>
      </c>
    </row>
    <row r="24" spans="1:6">
      <c r="A24" s="27" t="str">
        <f>'bev-int'!A33</f>
        <v>Belföldi értékpapírok bevételei</v>
      </c>
      <c r="B24" s="26">
        <f>'bev-int'!B33</f>
        <v>0</v>
      </c>
      <c r="C24" s="26">
        <f>'bev-int'!C33</f>
        <v>0</v>
      </c>
      <c r="D24" s="26" t="str">
        <f>'kiad-int'!A24</f>
        <v>Belföldi értékpapírok kiadásai</v>
      </c>
      <c r="E24" s="26">
        <f>'kiad-int'!B24</f>
        <v>0</v>
      </c>
      <c r="F24" s="26">
        <f>'kiad-int'!C24</f>
        <v>0</v>
      </c>
    </row>
    <row r="25" spans="1:6">
      <c r="A25" s="27" t="str">
        <f>'bev-int'!A34</f>
        <v>Maradvány igénybevétele</v>
      </c>
      <c r="B25" s="26">
        <f>'bev-int'!B34</f>
        <v>3050000000</v>
      </c>
      <c r="C25" s="26">
        <f>'bev-int'!C34</f>
        <v>3067838533</v>
      </c>
      <c r="D25" s="26" t="str">
        <f>'kiad-int'!A25</f>
        <v>ÁH belüli megelőlegezések</v>
      </c>
      <c r="E25" s="26">
        <f>'kiad-int'!B25</f>
        <v>0</v>
      </c>
      <c r="F25" s="26">
        <f>'kiad-int'!C25</f>
        <v>0</v>
      </c>
    </row>
    <row r="26" spans="1:6">
      <c r="A26" s="27" t="str">
        <f>'bev-int'!A35</f>
        <v>ÁH belüli megelőlegezések</v>
      </c>
      <c r="B26" s="26">
        <f>'bev-int'!B35</f>
        <v>0</v>
      </c>
      <c r="C26" s="26">
        <f>'bev-int'!C35</f>
        <v>71302</v>
      </c>
      <c r="D26" s="26" t="str">
        <f>'kiad-int'!A26</f>
        <v>ÁH belüli megelőlegezések visszafizetése</v>
      </c>
      <c r="E26" s="26">
        <f>'kiad-int'!B26</f>
        <v>43376844</v>
      </c>
      <c r="F26" s="26">
        <f>'kiad-int'!C26</f>
        <v>43376844</v>
      </c>
    </row>
    <row r="27" spans="1:6">
      <c r="A27" s="27" t="str">
        <f>'bev-int'!A36</f>
        <v>ÁH belüli megelőlegezések visszafizetése</v>
      </c>
      <c r="B27" s="26">
        <f>'bev-int'!B36</f>
        <v>0</v>
      </c>
      <c r="C27" s="26">
        <f>'bev-int'!C36</f>
        <v>0</v>
      </c>
      <c r="D27" s="26" t="str">
        <f>'kiad-int'!A27</f>
        <v>Központi, irányító szervi támogatás folyósítása</v>
      </c>
      <c r="E27" s="26">
        <f>'kiad-int'!B27</f>
        <v>1340666026</v>
      </c>
      <c r="F27" s="26">
        <f>'kiad-int'!C27</f>
        <v>1386359074</v>
      </c>
    </row>
    <row r="28" spans="1:6">
      <c r="A28" s="27" t="str">
        <f>'bev-int'!A37</f>
        <v>Központi, irányító szervi támogatás</v>
      </c>
      <c r="B28" s="26">
        <f>'bev-int'!B37</f>
        <v>1340666026</v>
      </c>
      <c r="C28" s="26">
        <f>'bev-int'!C37</f>
        <v>1386359074</v>
      </c>
      <c r="D28" s="26" t="str">
        <f>'kiad-int'!A28</f>
        <v>Pe.betétként elhelyezése, kincstárjegy vás.</v>
      </c>
      <c r="E28" s="26">
        <f>'kiad-int'!B28</f>
        <v>0</v>
      </c>
      <c r="F28" s="26">
        <f>'kiad-int'!C28</f>
        <v>0</v>
      </c>
    </row>
    <row r="29" spans="1:6" ht="13.5" thickBot="1">
      <c r="A29" s="28" t="str">
        <f>'bev-int'!A38</f>
        <v>Betétek megszüntetése, kincstárjegy vissszavásárlás</v>
      </c>
      <c r="B29" s="26">
        <f>'bev-int'!B38</f>
        <v>0</v>
      </c>
      <c r="C29" s="26">
        <f>'bev-int'!C38</f>
        <v>0</v>
      </c>
      <c r="D29" s="28"/>
      <c r="E29" s="28"/>
      <c r="F29" s="28"/>
    </row>
    <row r="30" spans="1:6" s="24" customFormat="1" ht="13.5" thickBot="1">
      <c r="A30" s="29" t="str">
        <f>'bev-int'!A39</f>
        <v>Belföldi finanszírozás bevételei</v>
      </c>
      <c r="B30" s="29">
        <f>'bev-int'!B39</f>
        <v>4390666026</v>
      </c>
      <c r="C30" s="29">
        <f>'bev-int'!C39</f>
        <v>4454268909</v>
      </c>
      <c r="D30" s="29" t="str">
        <f>'kiad-int'!A29</f>
        <v>Belföldi finanszírozás kiadásai</v>
      </c>
      <c r="E30" s="29">
        <f>SUM(E23:E29)</f>
        <v>1384042870</v>
      </c>
      <c r="F30" s="29">
        <f>SUM(F23:F29)</f>
        <v>1429735918</v>
      </c>
    </row>
    <row r="31" spans="1:6" s="24" customFormat="1" ht="13.5" thickBot="1">
      <c r="A31" s="29" t="str">
        <f>'bev-int'!A40</f>
        <v>Külföldi finanszírozás bevételei</v>
      </c>
      <c r="B31" s="29">
        <f>'bev-int'!B40</f>
        <v>0</v>
      </c>
      <c r="C31" s="29">
        <f>'bev-int'!C40</f>
        <v>0</v>
      </c>
      <c r="D31" s="29" t="str">
        <f>'kiad-int'!A30</f>
        <v>Külföldi finanszírozás kiadásai</v>
      </c>
      <c r="E31" s="29">
        <f>'kiad-int'!B30</f>
        <v>0</v>
      </c>
      <c r="F31" s="29">
        <f>'kiad-int'!C30</f>
        <v>0</v>
      </c>
    </row>
    <row r="32" spans="1:6" s="24" customFormat="1" ht="13.5" thickBot="1">
      <c r="A32" s="29" t="str">
        <f>'bev-int'!A41</f>
        <v>Adóssághoz nem kapcs.származékos ügyl.bevét.</v>
      </c>
      <c r="B32" s="29">
        <f>'bev-int'!B41</f>
        <v>0</v>
      </c>
      <c r="C32" s="29">
        <f>'bev-int'!C41</f>
        <v>0</v>
      </c>
      <c r="D32" s="29" t="str">
        <f>'kiad-int'!A31</f>
        <v>Adóssághoz nem kapcs.származékos ügyl.kiad.</v>
      </c>
      <c r="E32" s="29">
        <f>'kiad-int'!B31</f>
        <v>0</v>
      </c>
      <c r="F32" s="29">
        <f>'kiad-int'!C31</f>
        <v>0</v>
      </c>
    </row>
    <row r="33" spans="1:6" s="24" customFormat="1" ht="13.5" thickBot="1">
      <c r="A33" s="29" t="str">
        <f>'bev-int'!A42</f>
        <v>Finanszírozási bevételek</v>
      </c>
      <c r="B33" s="29">
        <f>'bev-int'!B42</f>
        <v>4390666026</v>
      </c>
      <c r="C33" s="29">
        <f>'bev-int'!C42</f>
        <v>4454268909</v>
      </c>
      <c r="D33" s="29" t="str">
        <f>'kiad-int'!A32</f>
        <v>Finanszírozási kiadások</v>
      </c>
      <c r="E33" s="29">
        <f>'kiad-int'!B32</f>
        <v>1384042870</v>
      </c>
      <c r="F33" s="29">
        <f>'kiad-int'!C32</f>
        <v>1429735918</v>
      </c>
    </row>
    <row r="34" spans="1:6" s="45" customFormat="1" ht="13.5" thickBot="1">
      <c r="A34" s="44" t="s">
        <v>214</v>
      </c>
      <c r="B34" s="29">
        <f>'bev-int'!B43</f>
        <v>8127399412</v>
      </c>
      <c r="C34" s="29">
        <f>'bev-int'!C43</f>
        <v>8252813312.1999998</v>
      </c>
      <c r="D34" s="44" t="str">
        <f>'kiad-int'!A33</f>
        <v>Kiadások összesen:</v>
      </c>
      <c r="E34" s="29">
        <f>'kiad-int'!B33</f>
        <v>8127399412</v>
      </c>
      <c r="F34" s="29">
        <f>'kiad-int'!C33</f>
        <v>8252813312</v>
      </c>
    </row>
    <row r="35" spans="1:6">
      <c r="B35" s="180"/>
      <c r="C35" s="180"/>
      <c r="E35" s="180"/>
      <c r="F35" s="180"/>
    </row>
    <row r="36" spans="1:6">
      <c r="B36" s="180"/>
      <c r="C36" s="180"/>
      <c r="E36" s="180"/>
      <c r="F36" s="180"/>
    </row>
    <row r="37" spans="1:6" s="24" customFormat="1">
      <c r="A37" s="24" t="s">
        <v>215</v>
      </c>
      <c r="B37" s="181">
        <f>B34-E34</f>
        <v>0</v>
      </c>
      <c r="C37" s="181">
        <f>C34-F34</f>
        <v>0.19999980926513672</v>
      </c>
      <c r="D37" s="181"/>
      <c r="E37" s="181"/>
      <c r="F37" s="181"/>
    </row>
    <row r="38" spans="1:6">
      <c r="B38" s="180"/>
      <c r="C38" s="180"/>
    </row>
    <row r="39" spans="1:6">
      <c r="B39" s="180"/>
      <c r="C39" s="180"/>
    </row>
    <row r="40" spans="1:6">
      <c r="B40" s="995">
        <f>C22-F22</f>
        <v>-3024532990.8000002</v>
      </c>
      <c r="C40" s="16">
        <f>F22-C22</f>
        <v>3024532990.8000002</v>
      </c>
      <c r="D40" s="92" t="s">
        <v>623</v>
      </c>
    </row>
  </sheetData>
  <mergeCells count="1">
    <mergeCell ref="A5:F5"/>
  </mergeCells>
  <phoneticPr fontId="1" type="noConversion"/>
  <printOptions horizontalCentered="1"/>
  <pageMargins left="0.19685039370078741" right="0.15748031496062992" top="0.98425196850393704" bottom="0.5511811023622047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5F14-B060-45F2-93AB-222417E039C0}">
  <dimension ref="A3:F37"/>
  <sheetViews>
    <sheetView workbookViewId="0">
      <selection activeCell="F26" sqref="F26"/>
    </sheetView>
  </sheetViews>
  <sheetFormatPr defaultRowHeight="12.75"/>
  <cols>
    <col min="1" max="1" width="45.7109375" style="16" customWidth="1"/>
    <col min="2" max="3" width="13.140625" style="16" customWidth="1"/>
    <col min="4" max="4" width="45.7109375" style="16" customWidth="1"/>
    <col min="5" max="6" width="12.85546875" style="16" customWidth="1"/>
    <col min="7" max="16384" width="9.140625" style="16"/>
  </cols>
  <sheetData>
    <row r="3" spans="1:6">
      <c r="B3" s="283"/>
      <c r="C3" s="283" t="s">
        <v>324</v>
      </c>
      <c r="D3" s="16" t="str">
        <f>'bev-int'!B1</f>
        <v>melléklet a …/2024. (.  .) önkormányzati rendelethez</v>
      </c>
    </row>
    <row r="6" spans="1:6">
      <c r="A6" s="1252" t="s">
        <v>695</v>
      </c>
      <c r="B6" s="1252"/>
      <c r="C6" s="1252"/>
      <c r="D6" s="1252"/>
      <c r="E6" s="1252"/>
      <c r="F6" s="1252"/>
    </row>
    <row r="7" spans="1:6" ht="13.5" thickBot="1">
      <c r="E7" s="112"/>
      <c r="F7" s="112" t="s">
        <v>72</v>
      </c>
    </row>
    <row r="8" spans="1:6" ht="26.25" thickBot="1">
      <c r="A8" s="46" t="s">
        <v>91</v>
      </c>
      <c r="B8" s="43" t="s">
        <v>694</v>
      </c>
      <c r="C8" s="43" t="s">
        <v>843</v>
      </c>
      <c r="D8" s="284" t="s">
        <v>94</v>
      </c>
      <c r="E8" s="43" t="s">
        <v>694</v>
      </c>
      <c r="F8" s="43" t="s">
        <v>843</v>
      </c>
    </row>
    <row r="9" spans="1:6" s="24" customFormat="1">
      <c r="A9" s="119" t="str">
        <f>'bev-int'!A15</f>
        <v>Működési célú támogatások ÁH belülről</v>
      </c>
      <c r="B9" s="120">
        <f>'bev-int'!B15</f>
        <v>1250511860</v>
      </c>
      <c r="C9" s="120">
        <f>'bev-int'!C15</f>
        <v>1336477953.2</v>
      </c>
      <c r="D9" s="115" t="str">
        <f>'kiad-int'!A8</f>
        <v>Személyi juttatások</v>
      </c>
      <c r="E9" s="115">
        <f>'kiad-int'!B8</f>
        <v>1078799044</v>
      </c>
      <c r="F9" s="115">
        <f>'kiad-int'!C8</f>
        <v>1088813277</v>
      </c>
    </row>
    <row r="10" spans="1:6" s="24" customFormat="1">
      <c r="A10" s="121"/>
      <c r="B10" s="118"/>
      <c r="C10" s="118"/>
      <c r="D10" s="116" t="str">
        <f>'kiad-int'!A9</f>
        <v>Munkaadókat terhelő járulékok</v>
      </c>
      <c r="E10" s="116">
        <f>'kiad-int'!B9</f>
        <v>156773892</v>
      </c>
      <c r="F10" s="116">
        <f>'kiad-int'!C9</f>
        <v>157653899</v>
      </c>
    </row>
    <row r="11" spans="1:6" s="24" customFormat="1">
      <c r="A11" s="121" t="str">
        <f>'bev-int'!A26</f>
        <v>Közhatalmi bevételek</v>
      </c>
      <c r="B11" s="118">
        <f>'bev-int'!B26-b_k_ré!C34</f>
        <v>373767020</v>
      </c>
      <c r="C11" s="118">
        <f>'bev-int'!C26-b_k_ré!D34</f>
        <v>373767020</v>
      </c>
      <c r="D11" s="116" t="str">
        <f>'kiad-int'!A10</f>
        <v>Készletbeszerzés</v>
      </c>
      <c r="E11" s="116">
        <f>'kiad-int'!B10</f>
        <v>202486751</v>
      </c>
      <c r="F11" s="116">
        <f>'kiad-int'!C10</f>
        <v>201512451</v>
      </c>
    </row>
    <row r="12" spans="1:6" s="24" customFormat="1">
      <c r="A12" s="121" t="str">
        <f>'bev-int'!A27</f>
        <v>Működési bevételek</v>
      </c>
      <c r="B12" s="118">
        <f>'bev-int'!B27</f>
        <v>455525845</v>
      </c>
      <c r="C12" s="118">
        <f>'bev-int'!C27</f>
        <v>455525845</v>
      </c>
      <c r="D12" s="116" t="str">
        <f>'kiad-int'!A11</f>
        <v>Kommunikációs szolgáltatások</v>
      </c>
      <c r="E12" s="116">
        <f>'kiad-int'!B11</f>
        <v>22441100</v>
      </c>
      <c r="F12" s="116">
        <f>'kiad-int'!C11</f>
        <v>23418358</v>
      </c>
    </row>
    <row r="13" spans="1:6" s="24" customFormat="1">
      <c r="A13" s="121" t="str">
        <f>'bev-int'!A29</f>
        <v>Működési célú átvett pénzeszközök</v>
      </c>
      <c r="B13" s="118">
        <f>'bev-int'!B29</f>
        <v>39694923</v>
      </c>
      <c r="C13" s="118">
        <f>'bev-int'!C29</f>
        <v>15539847</v>
      </c>
      <c r="D13" s="116" t="str">
        <f>'kiad-int'!A12</f>
        <v>Szolgáltatási kiadások</v>
      </c>
      <c r="E13" s="116">
        <f>'kiad-int'!B12</f>
        <v>354476908</v>
      </c>
      <c r="F13" s="116">
        <f>'kiad-int'!C12</f>
        <v>416783714</v>
      </c>
    </row>
    <row r="14" spans="1:6" s="24" customFormat="1">
      <c r="A14" s="122"/>
      <c r="B14" s="118"/>
      <c r="C14" s="118"/>
      <c r="D14" s="116" t="str">
        <f>'kiad-int'!A13</f>
        <v>Kiküldetés, reklám- és propagamda kiadások</v>
      </c>
      <c r="E14" s="116">
        <f>'kiad-int'!B13</f>
        <v>1515355</v>
      </c>
      <c r="F14" s="116">
        <f>'kiad-int'!C13</f>
        <v>1601300</v>
      </c>
    </row>
    <row r="15" spans="1:6" s="24" customFormat="1">
      <c r="A15" s="121"/>
      <c r="B15" s="118"/>
      <c r="C15" s="118"/>
      <c r="D15" s="117" t="str">
        <f>'kiad-int'!A14</f>
        <v>Különféle befizetések és egyéb dologi kiadások</v>
      </c>
      <c r="E15" s="117">
        <f>'kiad-int'!B14</f>
        <v>549954591</v>
      </c>
      <c r="F15" s="117">
        <f>'kiad-int'!C14</f>
        <v>589067569</v>
      </c>
    </row>
    <row r="16" spans="1:6" s="24" customFormat="1">
      <c r="A16" s="121"/>
      <c r="B16" s="118"/>
      <c r="C16" s="118"/>
      <c r="D16" s="118" t="str">
        <f>'kiad-int'!A16</f>
        <v>Ellátottak pénzbeli juttatásai</v>
      </c>
      <c r="E16" s="118">
        <f>'kiad-int'!B16</f>
        <v>8234700</v>
      </c>
      <c r="F16" s="118">
        <f>'kiad-int'!C16</f>
        <v>8234700</v>
      </c>
    </row>
    <row r="17" spans="1:6" s="24" customFormat="1">
      <c r="A17" s="121"/>
      <c r="B17" s="118"/>
      <c r="C17" s="118"/>
      <c r="D17" s="118" t="s">
        <v>557</v>
      </c>
      <c r="E17" s="118">
        <f>'kiad-int'!B17-tart_!C39</f>
        <v>328827417</v>
      </c>
      <c r="F17" s="118">
        <f>'kiad-int'!C17-tart_!D39</f>
        <v>347823840</v>
      </c>
    </row>
    <row r="18" spans="1:6" s="24" customFormat="1">
      <c r="A18" s="47"/>
      <c r="B18" s="952"/>
      <c r="C18" s="952"/>
      <c r="D18" s="118" t="s">
        <v>19</v>
      </c>
      <c r="E18" s="118">
        <f>tart_!C8</f>
        <v>55216212</v>
      </c>
      <c r="F18" s="118">
        <f>tart_!D8</f>
        <v>31449922</v>
      </c>
    </row>
    <row r="19" spans="1:6" s="24" customFormat="1" ht="13.5" thickBot="1">
      <c r="A19" s="48"/>
      <c r="B19" s="25"/>
      <c r="C19" s="25"/>
      <c r="D19" s="25"/>
      <c r="E19" s="25"/>
      <c r="F19" s="25"/>
    </row>
    <row r="20" spans="1:6" ht="13.5" thickBot="1">
      <c r="A20" s="49" t="str">
        <f>'bev-int'!A31</f>
        <v>Költségvetési bevételek:</v>
      </c>
      <c r="B20" s="29">
        <f>SUM(B9:B19)</f>
        <v>2119499648</v>
      </c>
      <c r="C20" s="29">
        <f>SUM(C9:C19)</f>
        <v>2181310665.1999998</v>
      </c>
      <c r="D20" s="29" t="str">
        <f>'kiad-int'!A22</f>
        <v>Költségvetési kiadások:</v>
      </c>
      <c r="E20" s="29">
        <f>SUM(E9:E19)</f>
        <v>2758725970</v>
      </c>
      <c r="F20" s="29">
        <f>SUM(F9:F19)</f>
        <v>2866359030</v>
      </c>
    </row>
    <row r="21" spans="1:6">
      <c r="A21" s="50" t="str">
        <f>'bev-int'!A32</f>
        <v>Hitel, kölcsönfelvétel ÁH kívülről</v>
      </c>
      <c r="B21" s="26">
        <f>'bev-int'!B32</f>
        <v>0</v>
      </c>
      <c r="C21" s="26">
        <f>'bev-int'!C32</f>
        <v>0</v>
      </c>
      <c r="D21" s="26" t="str">
        <f>'kiad-int'!A23</f>
        <v>Hitel, kölcsöntörlesztés ÁH kívülre</v>
      </c>
      <c r="E21" s="26">
        <f>'kiad-int'!B23</f>
        <v>0</v>
      </c>
      <c r="F21" s="26">
        <f>'kiad-int'!C23</f>
        <v>0</v>
      </c>
    </row>
    <row r="22" spans="1:6">
      <c r="A22" s="51" t="str">
        <f>'bev-int'!A33</f>
        <v>Belföldi értékpapírok bevételei</v>
      </c>
      <c r="B22" s="26">
        <f>'bev-int'!B33</f>
        <v>0</v>
      </c>
      <c r="C22" s="26">
        <f>'bev-int'!C33</f>
        <v>0</v>
      </c>
      <c r="D22" s="26" t="str">
        <f>'kiad-int'!A24</f>
        <v>Belföldi értékpapírok kiadásai</v>
      </c>
      <c r="E22" s="26">
        <f>'kiad-int'!B24</f>
        <v>0</v>
      </c>
      <c r="F22" s="26">
        <f>'kiad-int'!C24</f>
        <v>0</v>
      </c>
    </row>
    <row r="23" spans="1:6">
      <c r="A23" s="51" t="str">
        <f>'bev-int'!A34</f>
        <v>Maradvány igénybevétele</v>
      </c>
      <c r="B23" s="26">
        <f>mérl_!B25-f_mérl_!B23</f>
        <v>396699406</v>
      </c>
      <c r="C23" s="953">
        <f>mérl_!C25-f_mérl_!C23</f>
        <v>414537939</v>
      </c>
      <c r="D23" s="26" t="str">
        <f>'kiad-int'!A25</f>
        <v>ÁH belüli megelőlegezések</v>
      </c>
      <c r="E23" s="26">
        <f>'kiad-int'!B25</f>
        <v>0</v>
      </c>
      <c r="F23" s="26">
        <f>'kiad-int'!C25</f>
        <v>0</v>
      </c>
    </row>
    <row r="24" spans="1:6">
      <c r="A24" s="51" t="str">
        <f>'bev-int'!A35</f>
        <v>ÁH belüli megelőlegezések</v>
      </c>
      <c r="B24" s="26">
        <f>'bev-int'!B35</f>
        <v>0</v>
      </c>
      <c r="C24" s="26">
        <f>'bev-int'!C35</f>
        <v>71302</v>
      </c>
      <c r="D24" s="26" t="str">
        <f>'kiad-int'!A26</f>
        <v>ÁH belüli megelőlegezések visszafizetése</v>
      </c>
      <c r="E24" s="26">
        <f>'kiad-int'!B26</f>
        <v>43376844</v>
      </c>
      <c r="F24" s="26">
        <f>'kiad-int'!C26</f>
        <v>43376844</v>
      </c>
    </row>
    <row r="25" spans="1:6">
      <c r="A25" s="51" t="str">
        <f>'bev-int'!A36</f>
        <v>ÁH belüli megelőlegezések visszafizetése</v>
      </c>
      <c r="B25" s="26">
        <f>'bev-int'!B36</f>
        <v>0</v>
      </c>
      <c r="C25" s="26">
        <f>'bev-int'!C36</f>
        <v>0</v>
      </c>
      <c r="D25" s="26" t="str">
        <f>'kiad-int'!A27</f>
        <v>Központi, irányító szervi támogatás folyósítása</v>
      </c>
      <c r="E25" s="26">
        <f>mérl_!E27-f_mérl_!E25</f>
        <v>1299023126</v>
      </c>
      <c r="F25" s="26">
        <f>mérl_!F27-f_mérl_!F25</f>
        <v>1344656174</v>
      </c>
    </row>
    <row r="26" spans="1:6">
      <c r="A26" s="51" t="str">
        <f>'bev-int'!A37</f>
        <v>Központi, irányító szervi támogatás</v>
      </c>
      <c r="B26" s="26">
        <f>mérl_!B28-f_mérl_!B26</f>
        <v>1299023126</v>
      </c>
      <c r="C26" s="26">
        <f>mérl_!C28-f_mérl_!C26</f>
        <v>1344656174</v>
      </c>
      <c r="D26" s="26" t="str">
        <f>'kiad-int'!A28</f>
        <v>Pe.betétként elhelyezése, kincstárjegy vás.</v>
      </c>
      <c r="E26" s="26">
        <f>'kiad-int'!B28</f>
        <v>0</v>
      </c>
      <c r="F26" s="26">
        <f>'kiad-int'!C28</f>
        <v>0</v>
      </c>
    </row>
    <row r="27" spans="1:6" ht="13.5" thickBot="1">
      <c r="A27" s="52" t="str">
        <f>'bev-int'!A38</f>
        <v>Betétek megszüntetése, kincstárjegy vissszavásárlás</v>
      </c>
      <c r="B27" s="953">
        <f>mérl_!B29</f>
        <v>0</v>
      </c>
      <c r="C27" s="953">
        <f>mérl_!C29</f>
        <v>0</v>
      </c>
      <c r="D27" s="26"/>
      <c r="E27" s="26"/>
      <c r="F27" s="26"/>
    </row>
    <row r="28" spans="1:6" s="24" customFormat="1" ht="13.5" thickBot="1">
      <c r="A28" s="49" t="str">
        <f>'bev-int'!A39</f>
        <v>Belföldi finanszírozás bevételei</v>
      </c>
      <c r="B28" s="29">
        <f>SUM(B21:B27)</f>
        <v>1695722532</v>
      </c>
      <c r="C28" s="29">
        <f>SUM(C21:C27)</f>
        <v>1759265415</v>
      </c>
      <c r="D28" s="29" t="str">
        <f>'kiad-int'!A29</f>
        <v>Belföldi finanszírozás kiadásai</v>
      </c>
      <c r="E28" s="29">
        <f>SUM(E21:E27)</f>
        <v>1342399970</v>
      </c>
      <c r="F28" s="29">
        <f>SUM(F21:F27)</f>
        <v>1388033018</v>
      </c>
    </row>
    <row r="29" spans="1:6" s="24" customFormat="1" ht="13.5" thickBot="1">
      <c r="A29" s="49" t="str">
        <f>'bev-int'!A40</f>
        <v>Külföldi finanszírozás bevételei</v>
      </c>
      <c r="B29" s="29">
        <f>'bev-int'!B40</f>
        <v>0</v>
      </c>
      <c r="C29" s="29">
        <f>'bev-int'!C40</f>
        <v>0</v>
      </c>
      <c r="D29" s="29" t="str">
        <f>'kiad-int'!A30</f>
        <v>Külföldi finanszírozás kiadásai</v>
      </c>
      <c r="E29" s="29">
        <f>'kiad-int'!B30</f>
        <v>0</v>
      </c>
      <c r="F29" s="29">
        <f>'kiad-int'!C30</f>
        <v>0</v>
      </c>
    </row>
    <row r="30" spans="1:6" s="24" customFormat="1" ht="13.5" thickBot="1">
      <c r="A30" s="49" t="str">
        <f>'bev-int'!A41</f>
        <v>Adóssághoz nem kapcs.származékos ügyl.bevét.</v>
      </c>
      <c r="B30" s="29">
        <f>'bev-int'!B41</f>
        <v>0</v>
      </c>
      <c r="C30" s="29">
        <f>'bev-int'!C41</f>
        <v>0</v>
      </c>
      <c r="D30" s="29" t="str">
        <f>'kiad-int'!A31</f>
        <v>Adóssághoz nem kapcs.származékos ügyl.kiad.</v>
      </c>
      <c r="E30" s="29">
        <f>'kiad-int'!B31</f>
        <v>0</v>
      </c>
      <c r="F30" s="29">
        <f>'kiad-int'!C31</f>
        <v>0</v>
      </c>
    </row>
    <row r="31" spans="1:6" s="24" customFormat="1" ht="13.5" thickBot="1">
      <c r="A31" s="49" t="str">
        <f>'bev-int'!A42</f>
        <v>Finanszírozási bevételek</v>
      </c>
      <c r="B31" s="29">
        <f>SUM(B28:B30)</f>
        <v>1695722532</v>
      </c>
      <c r="C31" s="29">
        <f>SUM(C28:C30)</f>
        <v>1759265415</v>
      </c>
      <c r="D31" s="29" t="str">
        <f>'kiad-int'!A32</f>
        <v>Finanszírozási kiadások</v>
      </c>
      <c r="E31" s="29">
        <f>SUM(E28:E30)</f>
        <v>1342399970</v>
      </c>
      <c r="F31" s="29">
        <f>SUM(F28:F30)</f>
        <v>1388033018</v>
      </c>
    </row>
    <row r="32" spans="1:6" s="45" customFormat="1" ht="13.5" thickBot="1">
      <c r="A32" s="53" t="s">
        <v>214</v>
      </c>
      <c r="B32" s="954">
        <f>B20+B31</f>
        <v>3815222180</v>
      </c>
      <c r="C32" s="954">
        <f>C20+C31</f>
        <v>3940576080.1999998</v>
      </c>
      <c r="D32" s="29" t="str">
        <f>'kiad-int'!A33</f>
        <v>Kiadások összesen:</v>
      </c>
      <c r="E32" s="954">
        <f>E20+E31</f>
        <v>4101125940</v>
      </c>
      <c r="F32" s="954">
        <f>F20+F31</f>
        <v>4254392048</v>
      </c>
    </row>
    <row r="33" spans="1:6">
      <c r="E33" s="180"/>
      <c r="F33" s="180"/>
    </row>
    <row r="34" spans="1:6" s="24" customFormat="1">
      <c r="A34" s="24" t="s">
        <v>458</v>
      </c>
      <c r="B34" s="24">
        <f>B32-E32</f>
        <v>-285903760</v>
      </c>
      <c r="C34" s="24">
        <f>C32-F32</f>
        <v>-313815967.80000019</v>
      </c>
      <c r="E34" s="181"/>
      <c r="F34" s="181"/>
    </row>
    <row r="37" spans="1:6">
      <c r="B37" s="92"/>
      <c r="C37" s="424"/>
    </row>
  </sheetData>
  <mergeCells count="1">
    <mergeCell ref="A6:F6"/>
  </mergeCells>
  <phoneticPr fontId="1" type="noConversion"/>
  <printOptions horizontalCentered="1"/>
  <pageMargins left="0.43307086614173229" right="0.19685039370078741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DEAE-8B69-4FC1-A53A-639ACD5FA404}">
  <dimension ref="A1:F34"/>
  <sheetViews>
    <sheetView workbookViewId="0">
      <selection activeCell="F25" sqref="F25"/>
    </sheetView>
  </sheetViews>
  <sheetFormatPr defaultRowHeight="12.75"/>
  <cols>
    <col min="1" max="1" width="45.7109375" style="16" customWidth="1"/>
    <col min="2" max="2" width="13.42578125" style="16" bestFit="1" customWidth="1"/>
    <col min="3" max="3" width="12.85546875" style="16" bestFit="1" customWidth="1"/>
    <col min="4" max="4" width="45.7109375" style="16" customWidth="1"/>
    <col min="5" max="5" width="12.85546875" style="16" bestFit="1" customWidth="1"/>
    <col min="6" max="6" width="12.85546875" style="16" customWidth="1"/>
    <col min="7" max="16384" width="9.140625" style="16"/>
  </cols>
  <sheetData>
    <row r="1" spans="1:6">
      <c r="B1" s="40"/>
      <c r="C1" s="40" t="s">
        <v>325</v>
      </c>
      <c r="D1" s="16" t="str">
        <f>'bev-int'!B1</f>
        <v>melléklet a …/2024. (.  .) önkormányzati rendelethez</v>
      </c>
    </row>
    <row r="4" spans="1:6">
      <c r="A4" s="1252" t="s">
        <v>696</v>
      </c>
      <c r="B4" s="1252"/>
      <c r="C4" s="1252"/>
      <c r="D4" s="1252"/>
      <c r="E4" s="1252"/>
      <c r="F4" s="1252"/>
    </row>
    <row r="7" spans="1:6" ht="13.5" thickBot="1">
      <c r="E7" s="40"/>
      <c r="F7" s="40" t="s">
        <v>72</v>
      </c>
    </row>
    <row r="8" spans="1:6" ht="26.25" thickBot="1">
      <c r="A8" s="46" t="s">
        <v>91</v>
      </c>
      <c r="B8" s="43" t="s">
        <v>694</v>
      </c>
      <c r="C8" s="43" t="s">
        <v>843</v>
      </c>
      <c r="D8" s="284" t="s">
        <v>94</v>
      </c>
      <c r="E8" s="43" t="s">
        <v>694</v>
      </c>
      <c r="F8" s="43" t="s">
        <v>843</v>
      </c>
    </row>
    <row r="9" spans="1:6" s="24" customFormat="1">
      <c r="A9" s="121" t="str">
        <f>'bev-int'!A28</f>
        <v>Felhalmozási bevételek</v>
      </c>
      <c r="B9" s="120">
        <f>'bev-int'!B28</f>
        <v>0</v>
      </c>
      <c r="C9" s="120">
        <f>'bev-int'!C28</f>
        <v>0</v>
      </c>
      <c r="D9" s="118" t="str">
        <f>'kiad-int'!A19</f>
        <v>Beruházások</v>
      </c>
      <c r="E9" s="115">
        <f>'kiad-int'!B19</f>
        <v>428932394</v>
      </c>
      <c r="F9" s="115">
        <f>'kiad-int'!C19</f>
        <v>431896471</v>
      </c>
    </row>
    <row r="10" spans="1:6" s="24" customFormat="1">
      <c r="A10" s="121" t="str">
        <f>'bev-int'!A30</f>
        <v>Felhalmozási célú átvett pénzeszközök</v>
      </c>
      <c r="B10" s="118">
        <f>'bev-int'!B30</f>
        <v>1837200</v>
      </c>
      <c r="C10" s="118">
        <f>'bev-int'!C30</f>
        <v>1837200</v>
      </c>
      <c r="D10" s="118" t="str">
        <f>'kiad-int'!A20</f>
        <v>Felújítások</v>
      </c>
      <c r="E10" s="116">
        <f>'kiad-int'!B20</f>
        <v>3404873178</v>
      </c>
      <c r="F10" s="116">
        <f>'kiad-int'!C20</f>
        <v>3358876760</v>
      </c>
    </row>
    <row r="11" spans="1:6" s="24" customFormat="1">
      <c r="A11" s="121" t="str">
        <f>'bev-int'!A21</f>
        <v>Felhalmozási célú támogatások ÁH belülről</v>
      </c>
      <c r="B11" s="118">
        <f>'bev-int'!B21</f>
        <v>1588396538</v>
      </c>
      <c r="C11" s="118">
        <f>'bev-int'!C21</f>
        <v>1588396538</v>
      </c>
      <c r="D11" s="118" t="str">
        <f>'kiad-int'!A21</f>
        <v>Egyéb felhalmozási célú kiadások</v>
      </c>
      <c r="E11" s="117">
        <f>'kiad-int'!B21</f>
        <v>85725000</v>
      </c>
      <c r="F11" s="117">
        <f>'kiad-int'!C21</f>
        <v>100845133</v>
      </c>
    </row>
    <row r="12" spans="1:6" s="24" customFormat="1">
      <c r="A12" s="121" t="str">
        <f>'bev-int'!A26</f>
        <v>Közhatalmi bevételek</v>
      </c>
      <c r="B12" s="118">
        <f>b_k_ré!C34</f>
        <v>27000000</v>
      </c>
      <c r="C12" s="118">
        <f>b_k_ré!D34</f>
        <v>27000000</v>
      </c>
      <c r="D12" s="118" t="s">
        <v>556</v>
      </c>
      <c r="E12" s="118">
        <f>tart_!C24</f>
        <v>65100000</v>
      </c>
      <c r="F12" s="118">
        <f>tart_!D24</f>
        <v>65100000</v>
      </c>
    </row>
    <row r="13" spans="1:6" s="24" customFormat="1">
      <c r="A13" s="122"/>
      <c r="B13" s="118"/>
      <c r="C13" s="118"/>
      <c r="D13" s="118"/>
      <c r="E13" s="118"/>
      <c r="F13" s="118"/>
    </row>
    <row r="14" spans="1:6" s="24" customFormat="1">
      <c r="A14" s="121"/>
      <c r="B14" s="118"/>
      <c r="C14" s="118"/>
      <c r="D14" s="118"/>
      <c r="E14" s="118"/>
      <c r="F14" s="118"/>
    </row>
    <row r="15" spans="1:6" s="24" customFormat="1">
      <c r="A15" s="122"/>
      <c r="B15" s="118"/>
      <c r="C15" s="118"/>
      <c r="D15" s="118"/>
      <c r="E15" s="118"/>
      <c r="F15" s="118"/>
    </row>
    <row r="16" spans="1:6" s="24" customFormat="1">
      <c r="A16" s="121"/>
      <c r="B16" s="118"/>
      <c r="C16" s="118"/>
      <c r="D16" s="118"/>
      <c r="E16" s="118"/>
      <c r="F16" s="118"/>
    </row>
    <row r="17" spans="1:6" s="24" customFormat="1">
      <c r="A17" s="121"/>
      <c r="B17" s="118"/>
      <c r="C17" s="118"/>
      <c r="D17" s="118"/>
      <c r="E17" s="118"/>
      <c r="F17" s="118"/>
    </row>
    <row r="18" spans="1:6" s="24" customFormat="1">
      <c r="A18" s="121"/>
      <c r="B18" s="118"/>
      <c r="C18" s="118"/>
      <c r="D18" s="118"/>
      <c r="E18" s="118"/>
      <c r="F18" s="118"/>
    </row>
    <row r="19" spans="1:6" s="24" customFormat="1" ht="13.5" thickBot="1">
      <c r="A19" s="124"/>
      <c r="B19" s="123"/>
      <c r="C19" s="123"/>
      <c r="D19" s="123"/>
      <c r="E19" s="123"/>
      <c r="F19" s="123"/>
    </row>
    <row r="20" spans="1:6" ht="13.5" thickBot="1">
      <c r="A20" s="49" t="str">
        <f>'bev-int'!A31</f>
        <v>Költségvetési bevételek:</v>
      </c>
      <c r="B20" s="29">
        <f>SUM(B9:B19)</f>
        <v>1617233738</v>
      </c>
      <c r="C20" s="29">
        <f>SUM(C9:C19)</f>
        <v>1617233738</v>
      </c>
      <c r="D20" s="29" t="str">
        <f>'kiad-int'!A22</f>
        <v>Költségvetési kiadások:</v>
      </c>
      <c r="E20" s="29">
        <f>SUM(E9:E19)</f>
        <v>3984630572</v>
      </c>
      <c r="F20" s="29">
        <f>SUM(F9:F19)</f>
        <v>3956718364</v>
      </c>
    </row>
    <row r="21" spans="1:6">
      <c r="A21" s="50" t="str">
        <f>'bev-int'!A32</f>
        <v>Hitel, kölcsönfelvétel ÁH kívülről</v>
      </c>
      <c r="B21" s="26"/>
      <c r="C21" s="26"/>
      <c r="D21" s="26" t="str">
        <f>'kiad-int'!A23</f>
        <v>Hitel, kölcsöntörlesztés ÁH kívülre</v>
      </c>
      <c r="E21" s="26"/>
      <c r="F21" s="26"/>
    </row>
    <row r="22" spans="1:6">
      <c r="A22" s="51" t="str">
        <f>'bev-int'!A33</f>
        <v>Belföldi értékpapírok bevételei</v>
      </c>
      <c r="B22" s="26"/>
      <c r="C22" s="26"/>
      <c r="D22" s="26" t="str">
        <f>'kiad-int'!A24</f>
        <v>Belföldi értékpapírok kiadásai</v>
      </c>
      <c r="E22" s="27"/>
      <c r="F22" s="27"/>
    </row>
    <row r="23" spans="1:6">
      <c r="A23" s="51" t="str">
        <f>'bev-int'!A34</f>
        <v>Maradvány igénybevétele</v>
      </c>
      <c r="B23" s="26">
        <v>2653300594</v>
      </c>
      <c r="C23" s="953">
        <v>2653300594</v>
      </c>
      <c r="D23" s="26" t="str">
        <f>'kiad-int'!A25</f>
        <v>ÁH belüli megelőlegezések</v>
      </c>
      <c r="E23" s="27"/>
      <c r="F23" s="27"/>
    </row>
    <row r="24" spans="1:6">
      <c r="A24" s="51" t="str">
        <f>'bev-int'!A35</f>
        <v>ÁH belüli megelőlegezések</v>
      </c>
      <c r="B24" s="26"/>
      <c r="C24" s="26"/>
      <c r="D24" s="26" t="str">
        <f>'kiad-int'!A26</f>
        <v>ÁH belüli megelőlegezések visszafizetése</v>
      </c>
      <c r="E24" s="27"/>
      <c r="F24" s="27"/>
    </row>
    <row r="25" spans="1:6">
      <c r="A25" s="51" t="str">
        <f>'bev-int'!A36</f>
        <v>ÁH belüli megelőlegezések visszafizetése</v>
      </c>
      <c r="B25" s="26"/>
      <c r="C25" s="26"/>
      <c r="D25" s="26" t="str">
        <f>'kiad-int'!A27</f>
        <v>Központi, irányító szervi támogatás folyósítása</v>
      </c>
      <c r="E25" s="27">
        <f>beruh!K58+felúj!H40+felúj!J40+felúj!L40+felúj!N40+felúj!P40</f>
        <v>41642900</v>
      </c>
      <c r="F25" s="27">
        <f>beruh!L58+felúj!I40+felúj!K40+felúj!M40+felúj!O40+felúj!Q40</f>
        <v>41702900</v>
      </c>
    </row>
    <row r="26" spans="1:6">
      <c r="A26" s="51" t="str">
        <f>'bev-int'!A37</f>
        <v>Központi, irányító szervi támogatás</v>
      </c>
      <c r="B26" s="26">
        <f>beruh!K58+felúj!H40+felúj!J40+felúj!L40+felúj!N40+felúj!P40</f>
        <v>41642900</v>
      </c>
      <c r="C26" s="26">
        <f>beruh!L58+felúj!I40+felúj!K40+felúj!M40+felúj!O40+felúj!Q40</f>
        <v>41702900</v>
      </c>
      <c r="D26" s="26" t="str">
        <f>'kiad-int'!A28</f>
        <v>Pe.betétként elhelyezése, kincstárjegy vás.</v>
      </c>
      <c r="E26" s="27"/>
      <c r="F26" s="27"/>
    </row>
    <row r="27" spans="1:6" ht="13.5" thickBot="1">
      <c r="A27" s="52" t="str">
        <f>'bev-int'!A38</f>
        <v>Betétek megszüntetése, kincstárjegy vissszavásárlás</v>
      </c>
      <c r="B27" s="953">
        <v>0</v>
      </c>
      <c r="C27" s="953">
        <v>0</v>
      </c>
      <c r="D27" s="26" t="str">
        <f>'kiad-int'!A29</f>
        <v>Belföldi finanszírozás kiadásai</v>
      </c>
      <c r="E27" s="28"/>
      <c r="F27" s="28"/>
    </row>
    <row r="28" spans="1:6" s="24" customFormat="1" ht="13.5" thickBot="1">
      <c r="A28" s="49" t="str">
        <f>'bev-int'!A39</f>
        <v>Belföldi finanszírozás bevételei</v>
      </c>
      <c r="B28" s="29">
        <f>SUM(B21:B27)</f>
        <v>2694943494</v>
      </c>
      <c r="C28" s="29">
        <f>SUM(C21:C27)</f>
        <v>2695003494</v>
      </c>
      <c r="D28" s="29" t="str">
        <f>'kiad-int'!A29</f>
        <v>Belföldi finanszírozás kiadásai</v>
      </c>
      <c r="E28" s="29">
        <f>SUM(E21:E27)</f>
        <v>41642900</v>
      </c>
      <c r="F28" s="29">
        <f>SUM(F21:F27)</f>
        <v>41702900</v>
      </c>
    </row>
    <row r="29" spans="1:6" s="24" customFormat="1" ht="13.5" thickBot="1">
      <c r="A29" s="49" t="str">
        <f>'bev-int'!A40</f>
        <v>Külföldi finanszírozás bevételei</v>
      </c>
      <c r="B29" s="29">
        <f>'bev-int'!B40</f>
        <v>0</v>
      </c>
      <c r="C29" s="29">
        <f>'bev-int'!C40</f>
        <v>0</v>
      </c>
      <c r="D29" s="29" t="str">
        <f>'kiad-int'!A30</f>
        <v>Külföldi finanszírozás kiadásai</v>
      </c>
      <c r="E29" s="29">
        <v>0</v>
      </c>
      <c r="F29" s="29">
        <v>0</v>
      </c>
    </row>
    <row r="30" spans="1:6" s="24" customFormat="1" ht="13.5" thickBot="1">
      <c r="A30" s="49" t="str">
        <f>'bev-int'!A41</f>
        <v>Adóssághoz nem kapcs.származékos ügyl.bevét.</v>
      </c>
      <c r="B30" s="29">
        <f>'bev-int'!B41</f>
        <v>0</v>
      </c>
      <c r="C30" s="29">
        <f>'bev-int'!C41</f>
        <v>0</v>
      </c>
      <c r="D30" s="29" t="str">
        <f>'kiad-int'!A31</f>
        <v>Adóssághoz nem kapcs.származékos ügyl.kiad.</v>
      </c>
      <c r="E30" s="29">
        <v>0</v>
      </c>
      <c r="F30" s="29">
        <v>0</v>
      </c>
    </row>
    <row r="31" spans="1:6" s="24" customFormat="1" ht="13.5" thickBot="1">
      <c r="A31" s="49" t="str">
        <f>'bev-int'!A42</f>
        <v>Finanszírozási bevételek</v>
      </c>
      <c r="B31" s="29">
        <f>SUM(B28:B30)</f>
        <v>2694943494</v>
      </c>
      <c r="C31" s="29">
        <f>SUM(C28:C30)</f>
        <v>2695003494</v>
      </c>
      <c r="D31" s="29" t="str">
        <f>'kiad-int'!A32</f>
        <v>Finanszírozási kiadások</v>
      </c>
      <c r="E31" s="29">
        <f>SUM(E28:E30)</f>
        <v>41642900</v>
      </c>
      <c r="F31" s="29">
        <f>SUM(F28:F30)</f>
        <v>41702900</v>
      </c>
    </row>
    <row r="32" spans="1:6" s="45" customFormat="1" ht="13.5" thickBot="1">
      <c r="A32" s="53" t="s">
        <v>214</v>
      </c>
      <c r="B32" s="954">
        <f>B20+B31</f>
        <v>4312177232</v>
      </c>
      <c r="C32" s="954">
        <f>C20+C31</f>
        <v>4312237232</v>
      </c>
      <c r="D32" s="29" t="str">
        <f>'kiad-int'!A33</f>
        <v>Kiadások összesen:</v>
      </c>
      <c r="E32" s="954">
        <f>E20+E31</f>
        <v>4026273472</v>
      </c>
      <c r="F32" s="954">
        <f>F20+F31</f>
        <v>3998421264</v>
      </c>
    </row>
    <row r="34" spans="1:3" s="24" customFormat="1">
      <c r="A34" s="24" t="s">
        <v>459</v>
      </c>
      <c r="B34" s="24">
        <f>B32-E32</f>
        <v>285903760</v>
      </c>
      <c r="C34" s="24">
        <f>C32-F32</f>
        <v>313815968</v>
      </c>
    </row>
  </sheetData>
  <mergeCells count="1">
    <mergeCell ref="A4:F4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E3BB-9690-4D90-8D91-96AAD4884578}">
  <dimension ref="A2:E23"/>
  <sheetViews>
    <sheetView workbookViewId="0">
      <selection activeCell="D20" sqref="D20"/>
    </sheetView>
  </sheetViews>
  <sheetFormatPr defaultRowHeight="12.75"/>
  <cols>
    <col min="1" max="1" width="32.7109375" style="16" customWidth="1"/>
    <col min="2" max="3" width="14.5703125" style="16" customWidth="1"/>
    <col min="4" max="4" width="15.42578125" style="16" customWidth="1"/>
    <col min="5" max="16384" width="9.140625" style="16"/>
  </cols>
  <sheetData>
    <row r="2" spans="1:5">
      <c r="A2" s="40" t="s">
        <v>130</v>
      </c>
      <c r="B2" s="16" t="str">
        <f>'bev-int'!B1</f>
        <v>melléklet a …/2024. (.  .) önkormányzati rendelethez</v>
      </c>
    </row>
    <row r="6" spans="1:5" ht="30" customHeight="1">
      <c r="A6" s="1255" t="s">
        <v>797</v>
      </c>
      <c r="B6" s="1255"/>
      <c r="C6" s="1255"/>
      <c r="D6" s="1255"/>
      <c r="E6" s="72"/>
    </row>
    <row r="13" spans="1:5" ht="13.5" thickBot="1">
      <c r="D13" s="112" t="s">
        <v>310</v>
      </c>
    </row>
    <row r="14" spans="1:5" ht="13.5" thickBot="1">
      <c r="A14" s="66" t="s">
        <v>55</v>
      </c>
      <c r="B14" s="1253" t="s">
        <v>111</v>
      </c>
      <c r="C14" s="1253"/>
      <c r="D14" s="1254"/>
    </row>
    <row r="15" spans="1:5" ht="26.25" thickBot="1">
      <c r="A15" s="67"/>
      <c r="B15" s="39" t="s">
        <v>112</v>
      </c>
      <c r="C15" s="39" t="s">
        <v>113</v>
      </c>
      <c r="D15" s="68" t="s">
        <v>114</v>
      </c>
    </row>
    <row r="16" spans="1:5">
      <c r="A16" s="69" t="s">
        <v>92</v>
      </c>
      <c r="B16" s="564"/>
      <c r="C16" s="564"/>
      <c r="D16" s="565"/>
    </row>
    <row r="17" spans="1:4">
      <c r="A17" s="70" t="s">
        <v>115</v>
      </c>
      <c r="B17" s="566">
        <v>3</v>
      </c>
      <c r="C17" s="566">
        <v>100</v>
      </c>
      <c r="D17" s="567">
        <v>42000</v>
      </c>
    </row>
    <row r="18" spans="1:4">
      <c r="A18" s="71" t="s">
        <v>301</v>
      </c>
      <c r="B18" s="566">
        <v>4</v>
      </c>
      <c r="C18" s="566">
        <v>100</v>
      </c>
      <c r="D18" s="568">
        <v>6500</v>
      </c>
    </row>
    <row r="19" spans="1:4">
      <c r="A19" s="439" t="s">
        <v>298</v>
      </c>
      <c r="B19" s="566">
        <v>1</v>
      </c>
      <c r="C19" s="566">
        <v>100</v>
      </c>
      <c r="D19" s="569">
        <v>100000</v>
      </c>
    </row>
    <row r="20" spans="1:4">
      <c r="A20" s="70"/>
      <c r="B20" s="570"/>
      <c r="C20" s="570"/>
      <c r="D20" s="569"/>
    </row>
    <row r="21" spans="1:4" ht="13.5" thickBot="1">
      <c r="A21" s="153"/>
      <c r="B21" s="214"/>
      <c r="C21" s="214"/>
      <c r="D21" s="215"/>
    </row>
    <row r="22" spans="1:4" ht="13.5" thickBot="1">
      <c r="A22" s="154" t="s">
        <v>87</v>
      </c>
      <c r="B22" s="216"/>
      <c r="C22" s="217"/>
      <c r="D22" s="218">
        <f>SUM(D16:D20)</f>
        <v>148500</v>
      </c>
    </row>
    <row r="23" spans="1:4">
      <c r="B23" s="219"/>
      <c r="C23" s="220"/>
      <c r="D23" s="219"/>
    </row>
  </sheetData>
  <mergeCells count="2">
    <mergeCell ref="B14:D14"/>
    <mergeCell ref="A6:D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62EA-EE07-4544-B7FA-3292286DC08E}">
  <dimension ref="A1:F56"/>
  <sheetViews>
    <sheetView workbookViewId="0">
      <selection activeCell="F39" sqref="F39"/>
    </sheetView>
  </sheetViews>
  <sheetFormatPr defaultRowHeight="12.75"/>
  <cols>
    <col min="1" max="1" width="4.85546875" style="16" customWidth="1"/>
    <col min="2" max="2" width="41.85546875" style="16" customWidth="1"/>
    <col min="3" max="3" width="13.28515625" style="16" customWidth="1"/>
    <col min="4" max="6" width="12.85546875" style="16" bestFit="1" customWidth="1"/>
    <col min="7" max="16384" width="9.140625" style="16"/>
  </cols>
  <sheetData>
    <row r="1" spans="1:6">
      <c r="A1" s="40" t="s">
        <v>326</v>
      </c>
      <c r="B1" s="41" t="str">
        <f>'bev-int'!B1</f>
        <v>melléklet a …/2024. (.  .) önkormányzati rendelethez</v>
      </c>
      <c r="C1" s="42"/>
      <c r="D1" s="42"/>
    </row>
    <row r="4" spans="1:6">
      <c r="B4" s="1252" t="s">
        <v>798</v>
      </c>
      <c r="C4" s="1252"/>
      <c r="D4" s="1252"/>
      <c r="E4" s="1252"/>
      <c r="F4" s="1252"/>
    </row>
    <row r="5" spans="1:6">
      <c r="B5" s="1252" t="s">
        <v>265</v>
      </c>
      <c r="C5" s="1252"/>
      <c r="D5" s="1252"/>
      <c r="E5" s="1252"/>
      <c r="F5" s="1252"/>
    </row>
    <row r="6" spans="1:6">
      <c r="B6" s="30"/>
      <c r="C6" s="30"/>
      <c r="D6" s="30"/>
    </row>
    <row r="7" spans="1:6">
      <c r="B7" s="30"/>
      <c r="C7" s="30"/>
      <c r="D7" s="30"/>
    </row>
    <row r="8" spans="1:6" ht="13.5" thickBot="1">
      <c r="F8" s="112" t="s">
        <v>72</v>
      </c>
    </row>
    <row r="9" spans="1:6" ht="15.75" thickBot="1">
      <c r="B9" s="131" t="s">
        <v>55</v>
      </c>
      <c r="C9" s="285" t="s">
        <v>565</v>
      </c>
      <c r="D9" s="285" t="s">
        <v>625</v>
      </c>
      <c r="E9" s="285" t="s">
        <v>646</v>
      </c>
      <c r="F9" s="285" t="s">
        <v>799</v>
      </c>
    </row>
    <row r="10" spans="1:6">
      <c r="B10" s="132" t="str">
        <f>m_mérl_!A9</f>
        <v>Működési célú támogatások ÁH belülről</v>
      </c>
      <c r="C10" s="955">
        <f>m_mérl_!C9/1000</f>
        <v>1336477.9532000001</v>
      </c>
      <c r="D10" s="723">
        <v>1313038</v>
      </c>
      <c r="E10" s="568">
        <v>1370000</v>
      </c>
      <c r="F10" s="568">
        <v>1450000</v>
      </c>
    </row>
    <row r="11" spans="1:6">
      <c r="B11" s="133" t="str">
        <f>m_mérl_!A11</f>
        <v>Közhatalmi bevételek</v>
      </c>
      <c r="C11" s="956">
        <f>m_mérl_!C11/1000</f>
        <v>373767.02</v>
      </c>
      <c r="D11" s="730">
        <v>375000</v>
      </c>
      <c r="E11" s="569">
        <v>385000</v>
      </c>
      <c r="F11" s="569">
        <v>400000</v>
      </c>
    </row>
    <row r="12" spans="1:6">
      <c r="B12" s="133" t="str">
        <f>m_mérl_!A12</f>
        <v>Működési bevételek</v>
      </c>
      <c r="C12" s="956">
        <f>m_mérl_!C12/1000</f>
        <v>455525.84499999997</v>
      </c>
      <c r="D12" s="730">
        <v>475000</v>
      </c>
      <c r="E12" s="569">
        <v>490000</v>
      </c>
      <c r="F12" s="569">
        <v>500000</v>
      </c>
    </row>
    <row r="13" spans="1:6">
      <c r="B13" s="133" t="str">
        <f>m_mérl_!A13</f>
        <v>Működési célú átvett pénzeszközök</v>
      </c>
      <c r="C13" s="956">
        <f>m_mérl_!C13/1000</f>
        <v>15539.847</v>
      </c>
      <c r="D13" s="730">
        <v>40000</v>
      </c>
      <c r="E13" s="569">
        <v>45000</v>
      </c>
      <c r="F13" s="569">
        <v>50000</v>
      </c>
    </row>
    <row r="14" spans="1:6">
      <c r="B14" s="133" t="str">
        <f>m_mérl_!A23</f>
        <v>Maradvány igénybevétele</v>
      </c>
      <c r="C14" s="956">
        <f>m_mérl_!C23/1000</f>
        <v>414537.93900000001</v>
      </c>
      <c r="D14" s="730">
        <v>120000</v>
      </c>
      <c r="E14" s="569">
        <v>100000</v>
      </c>
      <c r="F14" s="569">
        <v>80000</v>
      </c>
    </row>
    <row r="15" spans="1:6">
      <c r="B15" s="133" t="str">
        <f>m_mérl_!A26</f>
        <v>Központi, irányító szervi támogatás</v>
      </c>
      <c r="C15" s="956">
        <f>m_mérl_!C26/1000</f>
        <v>1344656.1740000001</v>
      </c>
      <c r="D15" s="730">
        <v>1400000</v>
      </c>
      <c r="E15" s="569">
        <v>1500000</v>
      </c>
      <c r="F15" s="569">
        <v>1600000</v>
      </c>
    </row>
    <row r="16" spans="1:6">
      <c r="B16" s="133" t="s">
        <v>225</v>
      </c>
      <c r="C16" s="956">
        <f>mérl_!C29/1000</f>
        <v>0</v>
      </c>
      <c r="D16" s="730">
        <v>0</v>
      </c>
      <c r="E16" s="569"/>
      <c r="F16" s="569"/>
    </row>
    <row r="17" spans="2:6" ht="13.5" thickBot="1">
      <c r="B17" s="134"/>
      <c r="C17" s="957"/>
      <c r="D17" s="731"/>
      <c r="E17" s="732"/>
      <c r="F17" s="732"/>
    </row>
    <row r="18" spans="2:6" ht="13.5" thickBot="1">
      <c r="B18" s="135" t="s">
        <v>105</v>
      </c>
      <c r="C18" s="958">
        <f>SUM(C10:C17)</f>
        <v>3940504.7782000001</v>
      </c>
      <c r="D18" s="959">
        <f>SUM(D10:D17)</f>
        <v>3723038</v>
      </c>
      <c r="E18" s="960">
        <f>SUM(E10:E17)</f>
        <v>3890000</v>
      </c>
      <c r="F18" s="960">
        <f>SUM(F10:F17)</f>
        <v>4080000</v>
      </c>
    </row>
    <row r="19" spans="2:6">
      <c r="B19" s="130" t="str">
        <f>m_mérl_!D9</f>
        <v>Személyi juttatások</v>
      </c>
      <c r="C19" s="978">
        <f>m_mérl_!F9/1000</f>
        <v>1088813.277</v>
      </c>
      <c r="D19" s="961">
        <v>1132740</v>
      </c>
      <c r="E19" s="729">
        <v>1155394</v>
      </c>
      <c r="F19" s="729">
        <v>1213165</v>
      </c>
    </row>
    <row r="20" spans="2:6">
      <c r="B20" s="113" t="str">
        <f>m_mérl_!D10</f>
        <v>Munkaadókat terhelő járulékok</v>
      </c>
      <c r="C20" s="979">
        <f>m_mérl_!F10/1000</f>
        <v>157653.899</v>
      </c>
      <c r="D20" s="956">
        <v>160000</v>
      </c>
      <c r="E20" s="569">
        <v>167900</v>
      </c>
      <c r="F20" s="569">
        <v>176300</v>
      </c>
    </row>
    <row r="21" spans="2:6">
      <c r="B21" s="113" t="str">
        <f>m_mérl_!D11</f>
        <v>Készletbeszerzés</v>
      </c>
      <c r="C21" s="979">
        <f>m_mérl_!F11/1000</f>
        <v>201512.451</v>
      </c>
      <c r="D21" s="956">
        <v>203000</v>
      </c>
      <c r="E21" s="569">
        <v>204000</v>
      </c>
      <c r="F21" s="569">
        <v>205000</v>
      </c>
    </row>
    <row r="22" spans="2:6">
      <c r="B22" s="113" t="str">
        <f>m_mérl_!D12</f>
        <v>Kommunikációs szolgáltatások</v>
      </c>
      <c r="C22" s="979">
        <f>m_mérl_!F12/1000</f>
        <v>23418.358</v>
      </c>
      <c r="D22" s="956">
        <v>22500</v>
      </c>
      <c r="E22" s="569">
        <v>22500</v>
      </c>
      <c r="F22" s="569">
        <v>22500</v>
      </c>
    </row>
    <row r="23" spans="2:6">
      <c r="B23" s="113" t="str">
        <f>m_mérl_!D13</f>
        <v>Szolgáltatási kiadások</v>
      </c>
      <c r="C23" s="979">
        <f>m_mérl_!F13/1000</f>
        <v>416783.71399999998</v>
      </c>
      <c r="D23" s="956">
        <v>353910</v>
      </c>
      <c r="E23" s="569">
        <v>340000</v>
      </c>
      <c r="F23" s="569">
        <v>380000</v>
      </c>
    </row>
    <row r="24" spans="2:6">
      <c r="B24" s="113" t="str">
        <f>m_mérl_!D14</f>
        <v>Kiküldetés, reklám- és propagamda kiadások</v>
      </c>
      <c r="C24" s="979">
        <f>m_mérl_!F14/1000</f>
        <v>1601.3</v>
      </c>
      <c r="D24" s="956">
        <v>1500</v>
      </c>
      <c r="E24" s="569">
        <v>1500</v>
      </c>
      <c r="F24" s="569">
        <v>1500</v>
      </c>
    </row>
    <row r="25" spans="2:6">
      <c r="B25" s="113" t="str">
        <f>m_mérl_!D15</f>
        <v>Különféle befizetések és egyéb dologi kiadások</v>
      </c>
      <c r="C25" s="979">
        <f>m_mérl_!F15/1000</f>
        <v>589067.56900000002</v>
      </c>
      <c r="D25" s="956">
        <v>200000</v>
      </c>
      <c r="E25" s="569">
        <v>191006</v>
      </c>
      <c r="F25" s="569">
        <v>210000</v>
      </c>
    </row>
    <row r="26" spans="2:6">
      <c r="B26" s="113" t="str">
        <f>m_mérl_!D16</f>
        <v>Ellátottak pénzbeli juttatásai</v>
      </c>
      <c r="C26" s="979">
        <f>m_mérl_!F16/1000</f>
        <v>8234.7000000000007</v>
      </c>
      <c r="D26" s="956">
        <v>8500</v>
      </c>
      <c r="E26" s="569">
        <v>8700</v>
      </c>
      <c r="F26" s="569">
        <v>9000</v>
      </c>
    </row>
    <row r="27" spans="2:6">
      <c r="B27" s="32" t="str">
        <f>m_mérl_!D17</f>
        <v>Egyéb működési célú kiadások (tartalék nélkül)</v>
      </c>
      <c r="C27" s="723">
        <f>m_mérl_!F17/1000</f>
        <v>347823.84</v>
      </c>
      <c r="D27" s="730">
        <v>150000</v>
      </c>
      <c r="E27" s="569">
        <v>80000</v>
      </c>
      <c r="F27" s="569">
        <v>70000</v>
      </c>
    </row>
    <row r="28" spans="2:6">
      <c r="B28" s="32" t="str">
        <f>m_mérl_!D21</f>
        <v>Hitel, kölcsöntörlesztés ÁH kívülre</v>
      </c>
      <c r="C28" s="730">
        <f>m_mérl_!F21/1000</f>
        <v>0</v>
      </c>
      <c r="D28" s="730"/>
      <c r="E28" s="569"/>
      <c r="F28" s="569"/>
    </row>
    <row r="29" spans="2:6">
      <c r="B29" s="578" t="s">
        <v>631</v>
      </c>
      <c r="C29" s="730">
        <f>m_mérl_!F18/1000</f>
        <v>31449.921999999999</v>
      </c>
      <c r="D29" s="730">
        <v>10000</v>
      </c>
      <c r="E29" s="569">
        <v>10000</v>
      </c>
      <c r="F29" s="569">
        <v>10000</v>
      </c>
    </row>
    <row r="30" spans="2:6">
      <c r="B30" s="32" t="str">
        <f>m_mérl_!D25</f>
        <v>Központi, irányító szervi támogatás folyósítása</v>
      </c>
      <c r="C30" s="730">
        <f>m_mérl_!F25/1000</f>
        <v>1344656.1740000001</v>
      </c>
      <c r="D30" s="730">
        <v>1400000</v>
      </c>
      <c r="E30" s="569">
        <v>1500000</v>
      </c>
      <c r="F30" s="569">
        <v>1600000</v>
      </c>
    </row>
    <row r="31" spans="2:6">
      <c r="B31" s="32" t="s">
        <v>226</v>
      </c>
      <c r="C31" s="730">
        <f>m_mérl_!F24/1000</f>
        <v>43376.843999999997</v>
      </c>
      <c r="D31" s="730">
        <v>46000</v>
      </c>
      <c r="E31" s="962">
        <v>51000</v>
      </c>
      <c r="F31" s="962">
        <v>55000</v>
      </c>
    </row>
    <row r="32" spans="2:6" ht="13.5" thickBot="1">
      <c r="B32" s="33" t="s">
        <v>154</v>
      </c>
      <c r="C32" s="731">
        <f>m_mérl_!F26/1000</f>
        <v>0</v>
      </c>
      <c r="D32" s="963"/>
      <c r="E32" s="964"/>
      <c r="F32" s="964"/>
    </row>
    <row r="33" spans="2:6" ht="13.5" thickBot="1">
      <c r="B33" s="34" t="s">
        <v>108</v>
      </c>
      <c r="C33" s="739">
        <f>SUM(C19:C32)</f>
        <v>4254392.0479999995</v>
      </c>
      <c r="D33" s="965">
        <f>SUM(D19:D32)</f>
        <v>3688150</v>
      </c>
      <c r="E33" s="960">
        <f>SUM(E19:E32)</f>
        <v>3732000</v>
      </c>
      <c r="F33" s="960">
        <f>SUM(F19:F32)</f>
        <v>3952465</v>
      </c>
    </row>
    <row r="34" spans="2:6">
      <c r="B34" s="31" t="str">
        <f>f_mérl_!A9</f>
        <v>Felhalmozási bevételek</v>
      </c>
      <c r="C34" s="966">
        <f>f_mérl_!C9/1000</f>
        <v>0</v>
      </c>
      <c r="D34" s="967">
        <v>0</v>
      </c>
      <c r="E34" s="968">
        <v>0</v>
      </c>
      <c r="F34" s="968">
        <v>0</v>
      </c>
    </row>
    <row r="35" spans="2:6">
      <c r="B35" s="32" t="str">
        <f>f_mérl_!A10</f>
        <v>Felhalmozási célú átvett pénzeszközök</v>
      </c>
      <c r="C35" s="730">
        <f>f_mérl_!C10/1000</f>
        <v>1837.2</v>
      </c>
      <c r="D35" s="969">
        <v>1000</v>
      </c>
      <c r="E35" s="970">
        <v>1000</v>
      </c>
      <c r="F35" s="970">
        <v>1100</v>
      </c>
    </row>
    <row r="36" spans="2:6">
      <c r="B36" s="32" t="str">
        <f>f_mérl_!A11</f>
        <v>Felhalmozási célú támogatások ÁH belülről</v>
      </c>
      <c r="C36" s="730">
        <f>f_mérl_!C11/1000</f>
        <v>1588396.5379999999</v>
      </c>
      <c r="D36" s="971">
        <v>50000</v>
      </c>
      <c r="E36" s="970">
        <v>100000</v>
      </c>
      <c r="F36" s="970">
        <v>20000</v>
      </c>
    </row>
    <row r="37" spans="2:6">
      <c r="B37" s="32" t="str">
        <f>f_mérl_!A12</f>
        <v>Közhatalmi bevételek</v>
      </c>
      <c r="C37" s="730">
        <f>f_mérl_!C12/1000</f>
        <v>27000</v>
      </c>
      <c r="D37" s="971">
        <v>29000</v>
      </c>
      <c r="E37" s="970">
        <v>29000</v>
      </c>
      <c r="F37" s="970">
        <v>29500</v>
      </c>
    </row>
    <row r="38" spans="2:6">
      <c r="B38" s="32" t="str">
        <f>f_mérl_!A23</f>
        <v>Maradvány igénybevétele</v>
      </c>
      <c r="C38" s="730">
        <f>f_mérl_!C23/1000</f>
        <v>2653300.594</v>
      </c>
      <c r="D38" s="971">
        <v>287712</v>
      </c>
      <c r="E38" s="970">
        <v>84000</v>
      </c>
      <c r="F38" s="970">
        <v>43829</v>
      </c>
    </row>
    <row r="39" spans="2:6">
      <c r="B39" s="32" t="str">
        <f>B47</f>
        <v>Központi, irányító szervi támogatás folyósítása</v>
      </c>
      <c r="C39" s="730">
        <f>(beruh!G53+beruh!I53+beruh!K53+beruh!M53+beruh!O53)/1000</f>
        <v>40692.900999999998</v>
      </c>
      <c r="D39" s="969">
        <v>25000</v>
      </c>
      <c r="E39" s="970">
        <v>18000</v>
      </c>
      <c r="F39" s="970">
        <v>12000</v>
      </c>
    </row>
    <row r="40" spans="2:6">
      <c r="B40" s="32"/>
      <c r="C40" s="730"/>
      <c r="D40" s="971"/>
      <c r="E40" s="970"/>
      <c r="F40" s="970"/>
    </row>
    <row r="41" spans="2:6" ht="13.5" thickBot="1">
      <c r="B41" s="32"/>
      <c r="C41" s="730"/>
      <c r="D41" s="971"/>
      <c r="E41" s="964"/>
      <c r="F41" s="964"/>
    </row>
    <row r="42" spans="2:6" ht="13.5" thickBot="1">
      <c r="B42" s="34" t="s">
        <v>109</v>
      </c>
      <c r="C42" s="739">
        <f>SUM(C34:C41)</f>
        <v>4311227.233</v>
      </c>
      <c r="D42" s="965">
        <f>SUM(D34:D41)</f>
        <v>392712</v>
      </c>
      <c r="E42" s="972">
        <f>SUM(E34:E41)</f>
        <v>232000</v>
      </c>
      <c r="F42" s="972">
        <f>SUM(F34:F41)</f>
        <v>106429</v>
      </c>
    </row>
    <row r="43" spans="2:6">
      <c r="B43" s="31" t="str">
        <f>f_mérl_!D9</f>
        <v>Beruházások</v>
      </c>
      <c r="C43" s="973">
        <f>f_mérl_!F9/1000</f>
        <v>431896.47100000002</v>
      </c>
      <c r="D43" s="967">
        <v>270000</v>
      </c>
      <c r="E43" s="968">
        <v>90000</v>
      </c>
      <c r="F43" s="968">
        <v>90000</v>
      </c>
    </row>
    <row r="44" spans="2:6">
      <c r="B44" s="32" t="str">
        <f>f_mérl_!D10</f>
        <v>Felújítások</v>
      </c>
      <c r="C44" s="974">
        <f>f_mérl_!F10/1000</f>
        <v>3358876.76</v>
      </c>
      <c r="D44" s="969">
        <v>96000</v>
      </c>
      <c r="E44" s="970">
        <v>250000</v>
      </c>
      <c r="F44" s="970">
        <v>119964</v>
      </c>
    </row>
    <row r="45" spans="2:6">
      <c r="B45" s="32" t="str">
        <f>f_mérl_!D11</f>
        <v>Egyéb felhalmozási célú kiadások</v>
      </c>
      <c r="C45" s="723">
        <f>f_mérl_!F11/1000</f>
        <v>100845.133</v>
      </c>
      <c r="D45" s="969">
        <v>2000</v>
      </c>
      <c r="E45" s="970">
        <v>2000</v>
      </c>
      <c r="F45" s="970">
        <v>2000</v>
      </c>
    </row>
    <row r="46" spans="2:6">
      <c r="B46" s="32" t="str">
        <f>f_mérl_!D21</f>
        <v>Hitel, kölcsöntörlesztés ÁH kívülre</v>
      </c>
      <c r="C46" s="730">
        <f>f_mérl_!F21</f>
        <v>0</v>
      </c>
      <c r="D46" s="969"/>
      <c r="E46" s="970"/>
      <c r="F46" s="970"/>
    </row>
    <row r="47" spans="2:6">
      <c r="B47" s="32" t="str">
        <f>f_mérl_!D25</f>
        <v>Központi, irányító szervi támogatás folyósítása</v>
      </c>
      <c r="C47" s="730">
        <f>f_mérl_!F25/1000</f>
        <v>41702.9</v>
      </c>
      <c r="D47" s="969">
        <v>25000</v>
      </c>
      <c r="E47" s="970">
        <v>18000</v>
      </c>
      <c r="F47" s="970">
        <v>12000</v>
      </c>
    </row>
    <row r="48" spans="2:6">
      <c r="B48" s="578" t="s">
        <v>23</v>
      </c>
      <c r="C48" s="730">
        <f>tart_!D24/1000</f>
        <v>65100</v>
      </c>
      <c r="D48" s="969">
        <v>34600</v>
      </c>
      <c r="E48" s="970">
        <v>30000</v>
      </c>
      <c r="F48" s="970">
        <v>10000</v>
      </c>
    </row>
    <row r="49" spans="2:6">
      <c r="B49" s="35"/>
      <c r="C49" s="723"/>
      <c r="D49" s="969"/>
      <c r="E49" s="970"/>
      <c r="F49" s="970"/>
    </row>
    <row r="50" spans="2:6" ht="13.5" thickBot="1">
      <c r="B50" s="33"/>
      <c r="C50" s="723"/>
      <c r="D50" s="969"/>
      <c r="E50" s="964"/>
      <c r="F50" s="964"/>
    </row>
    <row r="51" spans="2:6" ht="13.5" thickBot="1">
      <c r="B51" s="34" t="s">
        <v>110</v>
      </c>
      <c r="C51" s="739">
        <f>SUM(C43:C50)</f>
        <v>3998421.2639999995</v>
      </c>
      <c r="D51" s="965">
        <f>SUM(D43:D50)</f>
        <v>427600</v>
      </c>
      <c r="E51" s="975">
        <f>SUM(E43:E50)</f>
        <v>390000</v>
      </c>
      <c r="F51" s="975">
        <f>SUM(F43:F50)</f>
        <v>233964</v>
      </c>
    </row>
    <row r="52" spans="2:6" ht="13.5" thickBot="1">
      <c r="B52" s="36" t="s">
        <v>62</v>
      </c>
      <c r="C52" s="726">
        <f>C18+C42</f>
        <v>8251732.0111999996</v>
      </c>
      <c r="D52" s="976">
        <f>D18+D42</f>
        <v>4115750</v>
      </c>
      <c r="E52" s="977">
        <f>E18+E42</f>
        <v>4122000</v>
      </c>
      <c r="F52" s="977">
        <f>F18+F42</f>
        <v>4186429</v>
      </c>
    </row>
    <row r="53" spans="2:6" ht="13.5" thickBot="1">
      <c r="B53" s="36" t="s">
        <v>67</v>
      </c>
      <c r="C53" s="726">
        <f>C33+C51</f>
        <v>8252813.311999999</v>
      </c>
      <c r="D53" s="976">
        <f>D33+D51</f>
        <v>4115750</v>
      </c>
      <c r="E53" s="977">
        <f>E33+E51</f>
        <v>4122000</v>
      </c>
      <c r="F53" s="977">
        <f>F33+F51</f>
        <v>4186429</v>
      </c>
    </row>
    <row r="55" spans="2:6" hidden="1">
      <c r="B55" s="37"/>
      <c r="C55" s="16">
        <f>C52-C53</f>
        <v>-1081.3007999993861</v>
      </c>
      <c r="D55" s="16">
        <f>D52-D53</f>
        <v>0</v>
      </c>
      <c r="E55" s="16">
        <f>E52-E53</f>
        <v>0</v>
      </c>
      <c r="F55" s="16">
        <f>F52-F53</f>
        <v>0</v>
      </c>
    </row>
    <row r="56" spans="2:6">
      <c r="B56" s="37"/>
      <c r="C56" s="16">
        <f>C53-C52</f>
        <v>1081.3007999993861</v>
      </c>
      <c r="D56" s="16">
        <f>D53-D52</f>
        <v>0</v>
      </c>
      <c r="E56" s="16">
        <f>E53-E52</f>
        <v>0</v>
      </c>
      <c r="F56" s="16">
        <f>F53-F52</f>
        <v>0</v>
      </c>
    </row>
  </sheetData>
  <mergeCells count="2">
    <mergeCell ref="B4:F4"/>
    <mergeCell ref="B5:F5"/>
  </mergeCells>
  <phoneticPr fontId="1" type="noConversion"/>
  <printOptions horizontalCentered="1"/>
  <pageMargins left="0.27" right="0.17" top="1.299212598425197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F66-7905-44E5-BC5B-281B0F1CFF3E}">
  <sheetPr>
    <pageSetUpPr fitToPage="1"/>
  </sheetPr>
  <dimension ref="A1:P35"/>
  <sheetViews>
    <sheetView workbookViewId="0">
      <selection activeCell="F28" sqref="F28"/>
    </sheetView>
  </sheetViews>
  <sheetFormatPr defaultRowHeight="12.75"/>
  <cols>
    <col min="1" max="1" width="36.140625" style="346" customWidth="1"/>
    <col min="2" max="2" width="14.140625" style="346" customWidth="1"/>
    <col min="3" max="3" width="10.5703125" style="346" customWidth="1"/>
    <col min="4" max="5" width="11.7109375" style="346" customWidth="1"/>
    <col min="6" max="6" width="13.5703125" style="346" customWidth="1"/>
    <col min="7" max="7" width="11.140625" style="346" customWidth="1"/>
    <col min="8" max="8" width="11.85546875" style="346" customWidth="1"/>
    <col min="9" max="9" width="12" style="346" customWidth="1"/>
    <col min="10" max="10" width="11.28515625" style="346" customWidth="1"/>
    <col min="11" max="11" width="12.42578125" style="346" customWidth="1"/>
    <col min="12" max="13" width="12.5703125" style="346" customWidth="1"/>
    <col min="14" max="14" width="13.7109375" style="346" customWidth="1"/>
    <col min="15" max="15" width="13" style="346" customWidth="1"/>
    <col min="16" max="16" width="15.85546875" style="348" bestFit="1" customWidth="1"/>
    <col min="17" max="18" width="9.140625" style="346" customWidth="1"/>
    <col min="19" max="16384" width="9.140625" style="346"/>
  </cols>
  <sheetData>
    <row r="1" spans="1:16">
      <c r="H1" s="347" t="s">
        <v>131</v>
      </c>
      <c r="I1" s="346" t="str">
        <f>'bev-int'!B1</f>
        <v>melléklet a …/2024. (.  .) önkormányzati rendelethez</v>
      </c>
    </row>
    <row r="3" spans="1:16">
      <c r="A3" s="1252" t="s">
        <v>800</v>
      </c>
      <c r="B3" s="1256"/>
      <c r="C3" s="1256"/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</row>
    <row r="4" spans="1:16" ht="13.5" thickBot="1">
      <c r="N4" s="92" t="s">
        <v>72</v>
      </c>
      <c r="O4" s="349"/>
    </row>
    <row r="5" spans="1:16" ht="15.75" thickBot="1">
      <c r="A5" s="350" t="s">
        <v>55</v>
      </c>
      <c r="B5" s="351" t="s">
        <v>82</v>
      </c>
      <c r="C5" s="352" t="s">
        <v>116</v>
      </c>
      <c r="D5" s="352" t="s">
        <v>117</v>
      </c>
      <c r="E5" s="352" t="s">
        <v>118</v>
      </c>
      <c r="F5" s="352" t="s">
        <v>119</v>
      </c>
      <c r="G5" s="352" t="s">
        <v>120</v>
      </c>
      <c r="H5" s="352" t="s">
        <v>121</v>
      </c>
      <c r="I5" s="352" t="s">
        <v>122</v>
      </c>
      <c r="J5" s="352" t="s">
        <v>123</v>
      </c>
      <c r="K5" s="352" t="s">
        <v>124</v>
      </c>
      <c r="L5" s="352" t="s">
        <v>125</v>
      </c>
      <c r="M5" s="353" t="s">
        <v>126</v>
      </c>
      <c r="N5" s="354" t="s">
        <v>87</v>
      </c>
      <c r="O5" s="349"/>
    </row>
    <row r="6" spans="1:16">
      <c r="A6" s="355" t="s">
        <v>127</v>
      </c>
      <c r="B6" s="356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8"/>
      <c r="N6" s="359"/>
      <c r="O6" s="349"/>
    </row>
    <row r="7" spans="1:16">
      <c r="A7" s="360" t="str">
        <f>'bev-int'!A15</f>
        <v>Működési célú támogatások ÁH belülről</v>
      </c>
      <c r="B7" s="361">
        <v>104209</v>
      </c>
      <c r="C7" s="361">
        <v>104209</v>
      </c>
      <c r="D7" s="361">
        <v>104209</v>
      </c>
      <c r="E7" s="361">
        <v>104209</v>
      </c>
      <c r="F7" s="361">
        <v>108000</v>
      </c>
      <c r="G7" s="361">
        <v>115900</v>
      </c>
      <c r="H7" s="361">
        <v>115900</v>
      </c>
      <c r="I7" s="361">
        <v>116242</v>
      </c>
      <c r="J7" s="361">
        <v>115900</v>
      </c>
      <c r="K7" s="361">
        <v>115900</v>
      </c>
      <c r="L7" s="361">
        <v>115900</v>
      </c>
      <c r="M7" s="361">
        <v>115900</v>
      </c>
      <c r="N7" s="362">
        <f>SUM(B7:M7)</f>
        <v>1336478</v>
      </c>
      <c r="O7" s="349">
        <f>'bev-int'!C15</f>
        <v>1336477953.2</v>
      </c>
      <c r="P7" s="348">
        <f>'bev-int'!C15</f>
        <v>1336477953.2</v>
      </c>
    </row>
    <row r="8" spans="1:16">
      <c r="A8" s="360" t="str">
        <f>'bev-int'!A21</f>
        <v>Felhalmozási célú támogatások ÁH belülről</v>
      </c>
      <c r="B8" s="361"/>
      <c r="C8" s="363"/>
      <c r="D8" s="363"/>
      <c r="E8" s="363">
        <v>11496</v>
      </c>
      <c r="F8" s="363">
        <v>1576900</v>
      </c>
      <c r="G8" s="363"/>
      <c r="H8" s="363"/>
      <c r="I8" s="363"/>
      <c r="J8" s="363"/>
      <c r="K8" s="363"/>
      <c r="L8" s="363"/>
      <c r="M8" s="364"/>
      <c r="N8" s="362">
        <f t="shared" ref="N8:N18" si="0">SUM(B8:M8)</f>
        <v>1588396</v>
      </c>
      <c r="O8" s="349">
        <f>'bev-int'!C21</f>
        <v>1588396538</v>
      </c>
      <c r="P8" s="348">
        <f>'bev-int'!C21</f>
        <v>1588396538</v>
      </c>
    </row>
    <row r="9" spans="1:16">
      <c r="A9" s="360" t="str">
        <f>'bev-int'!A26</f>
        <v>Közhatalmi bevételek</v>
      </c>
      <c r="B9" s="361">
        <v>10000</v>
      </c>
      <c r="C9" s="361">
        <v>10000</v>
      </c>
      <c r="D9" s="361">
        <v>10000</v>
      </c>
      <c r="E9" s="361">
        <v>10000</v>
      </c>
      <c r="F9" s="361">
        <v>120000</v>
      </c>
      <c r="G9" s="361">
        <v>10000</v>
      </c>
      <c r="H9" s="361">
        <v>10000</v>
      </c>
      <c r="I9" s="361">
        <v>10000</v>
      </c>
      <c r="J9" s="361">
        <v>120000</v>
      </c>
      <c r="K9" s="361">
        <v>10000</v>
      </c>
      <c r="L9" s="361">
        <v>10000</v>
      </c>
      <c r="M9" s="361">
        <v>70767</v>
      </c>
      <c r="N9" s="362">
        <f t="shared" si="0"/>
        <v>400767</v>
      </c>
      <c r="O9" s="349">
        <f>'bev-int'!C26</f>
        <v>400767020</v>
      </c>
      <c r="P9" s="348">
        <f>'bev-int'!C26</f>
        <v>400767020</v>
      </c>
    </row>
    <row r="10" spans="1:16">
      <c r="A10" s="360" t="str">
        <f>'bev-int'!A27</f>
        <v>Működési bevételek</v>
      </c>
      <c r="B10" s="361">
        <v>37960</v>
      </c>
      <c r="C10" s="361">
        <v>37960</v>
      </c>
      <c r="D10" s="361">
        <v>37960</v>
      </c>
      <c r="E10" s="361">
        <v>37960</v>
      </c>
      <c r="F10" s="361">
        <v>37960</v>
      </c>
      <c r="G10" s="361">
        <v>37960</v>
      </c>
      <c r="H10" s="361">
        <v>37960</v>
      </c>
      <c r="I10" s="361">
        <v>37960</v>
      </c>
      <c r="J10" s="361">
        <v>37960</v>
      </c>
      <c r="K10" s="361">
        <v>37960</v>
      </c>
      <c r="L10" s="361">
        <v>37966</v>
      </c>
      <c r="M10" s="361">
        <v>37960</v>
      </c>
      <c r="N10" s="362">
        <f t="shared" si="0"/>
        <v>455526</v>
      </c>
      <c r="O10" s="349">
        <f>'bev-int'!C27</f>
        <v>455525845</v>
      </c>
      <c r="P10" s="348">
        <f>'bev-int'!C27</f>
        <v>455525845</v>
      </c>
    </row>
    <row r="11" spans="1:16">
      <c r="A11" s="360" t="str">
        <f>'bev-int'!A28</f>
        <v>Felhalmozási bevételek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2">
        <f t="shared" si="0"/>
        <v>0</v>
      </c>
      <c r="O11" s="349">
        <f>'bev-int'!C28</f>
        <v>0</v>
      </c>
      <c r="P11" s="348">
        <f>'bev-int'!C28</f>
        <v>0</v>
      </c>
    </row>
    <row r="12" spans="1:16">
      <c r="A12" s="360" t="str">
        <f>'bev-int'!A29</f>
        <v>Működési célú átvett pénzeszközök</v>
      </c>
      <c r="B12" s="361"/>
      <c r="C12" s="361"/>
      <c r="D12" s="361"/>
      <c r="E12" s="361"/>
      <c r="F12" s="361"/>
      <c r="G12" s="361"/>
      <c r="H12" s="361"/>
      <c r="I12" s="361">
        <v>3108</v>
      </c>
      <c r="J12" s="361">
        <v>3108</v>
      </c>
      <c r="K12" s="361">
        <v>3108</v>
      </c>
      <c r="L12" s="361">
        <v>3108</v>
      </c>
      <c r="M12" s="361">
        <v>3108</v>
      </c>
      <c r="N12" s="362">
        <f t="shared" si="0"/>
        <v>15540</v>
      </c>
      <c r="O12" s="349">
        <f>'bev-int'!C29</f>
        <v>15539847</v>
      </c>
      <c r="P12" s="348">
        <f>'bev-int'!C29</f>
        <v>15539847</v>
      </c>
    </row>
    <row r="13" spans="1:16">
      <c r="A13" s="360" t="str">
        <f>'bev-int'!A30</f>
        <v>Felhalmozási célú átvett pénzeszközök</v>
      </c>
      <c r="B13" s="361">
        <v>160</v>
      </c>
      <c r="C13" s="361">
        <v>160</v>
      </c>
      <c r="D13" s="361">
        <v>160</v>
      </c>
      <c r="E13" s="361">
        <v>160</v>
      </c>
      <c r="F13" s="361">
        <v>160</v>
      </c>
      <c r="G13" s="361">
        <v>160</v>
      </c>
      <c r="H13" s="361">
        <v>160</v>
      </c>
      <c r="I13" s="361">
        <v>160</v>
      </c>
      <c r="J13" s="361">
        <v>160</v>
      </c>
      <c r="K13" s="361">
        <v>160</v>
      </c>
      <c r="L13" s="361">
        <v>160</v>
      </c>
      <c r="M13" s="361">
        <v>77</v>
      </c>
      <c r="N13" s="362">
        <f t="shared" si="0"/>
        <v>1837</v>
      </c>
      <c r="O13" s="349">
        <f>'bev-int'!C30</f>
        <v>1837200</v>
      </c>
      <c r="P13" s="348">
        <f>'bev-int'!C30</f>
        <v>1837200</v>
      </c>
    </row>
    <row r="14" spans="1:16">
      <c r="A14" s="360" t="s">
        <v>218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2">
        <f t="shared" si="0"/>
        <v>0</v>
      </c>
      <c r="O14" s="349">
        <f>'bev-int'!C32</f>
        <v>0</v>
      </c>
    </row>
    <row r="15" spans="1:16">
      <c r="A15" s="480" t="s">
        <v>499</v>
      </c>
      <c r="B15" s="361">
        <v>71</v>
      </c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2">
        <f t="shared" si="0"/>
        <v>71</v>
      </c>
      <c r="O15" s="349"/>
    </row>
    <row r="16" spans="1:16">
      <c r="A16" s="360" t="str">
        <f>'bev-int'!A34</f>
        <v>Maradvány igénybevétele</v>
      </c>
      <c r="B16" s="361">
        <v>3067839</v>
      </c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2">
        <f t="shared" si="0"/>
        <v>3067839</v>
      </c>
      <c r="O16" s="349">
        <f>'bev-int'!C34</f>
        <v>3067838533</v>
      </c>
      <c r="P16" s="348">
        <f>'bev-int'!C34</f>
        <v>3067838533</v>
      </c>
    </row>
    <row r="17" spans="1:16">
      <c r="A17" s="360" t="str">
        <f>'bev-int'!A37</f>
        <v>Központi, irányító szervi támogatás</v>
      </c>
      <c r="B17" s="365">
        <v>110359</v>
      </c>
      <c r="C17" s="365">
        <v>116000</v>
      </c>
      <c r="D17" s="365">
        <v>116000</v>
      </c>
      <c r="E17" s="365">
        <v>116000</v>
      </c>
      <c r="F17" s="365">
        <v>116000</v>
      </c>
      <c r="G17" s="365">
        <v>116000</v>
      </c>
      <c r="H17" s="365">
        <v>116000</v>
      </c>
      <c r="I17" s="365">
        <v>116000</v>
      </c>
      <c r="J17" s="365">
        <v>116000</v>
      </c>
      <c r="K17" s="365">
        <v>116000</v>
      </c>
      <c r="L17" s="365">
        <v>116000</v>
      </c>
      <c r="M17" s="365">
        <v>116000</v>
      </c>
      <c r="N17" s="362">
        <f t="shared" si="0"/>
        <v>1386359</v>
      </c>
      <c r="O17" s="349">
        <f>'bev-int'!C37</f>
        <v>1386359074</v>
      </c>
      <c r="P17" s="348">
        <f>'bev-int'!C37</f>
        <v>1386359074</v>
      </c>
    </row>
    <row r="18" spans="1:16" ht="13.5" thickBot="1">
      <c r="A18" s="366" t="s">
        <v>447</v>
      </c>
      <c r="B18" s="365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2">
        <f t="shared" si="0"/>
        <v>0</v>
      </c>
      <c r="O18" s="349">
        <f>'bev-int'!C38</f>
        <v>0</v>
      </c>
      <c r="P18" s="348">
        <f>'bev-int'!C38</f>
        <v>0</v>
      </c>
    </row>
    <row r="19" spans="1:16" ht="13.5" thickBot="1">
      <c r="A19" s="368" t="s">
        <v>62</v>
      </c>
      <c r="B19" s="369">
        <f>SUM(B6:B18)</f>
        <v>3330598</v>
      </c>
      <c r="C19" s="369">
        <f t="shared" ref="C19:K19" si="1">SUM(C6:C18)</f>
        <v>268329</v>
      </c>
      <c r="D19" s="369">
        <f t="shared" si="1"/>
        <v>268329</v>
      </c>
      <c r="E19" s="369">
        <f t="shared" si="1"/>
        <v>279825</v>
      </c>
      <c r="F19" s="369">
        <f t="shared" si="1"/>
        <v>1959020</v>
      </c>
      <c r="G19" s="369">
        <f t="shared" si="1"/>
        <v>280020</v>
      </c>
      <c r="H19" s="369">
        <f t="shared" si="1"/>
        <v>280020</v>
      </c>
      <c r="I19" s="369">
        <f t="shared" si="1"/>
        <v>283470</v>
      </c>
      <c r="J19" s="369">
        <f t="shared" si="1"/>
        <v>393128</v>
      </c>
      <c r="K19" s="369">
        <f t="shared" si="1"/>
        <v>283128</v>
      </c>
      <c r="L19" s="369">
        <f>SUM(L6:L18)</f>
        <v>283134</v>
      </c>
      <c r="M19" s="369">
        <f>SUM(M6:M18)</f>
        <v>343812</v>
      </c>
      <c r="N19" s="370">
        <f>SUM(B19:M19)</f>
        <v>8252813</v>
      </c>
      <c r="O19" s="371">
        <f>'bev-int'!C43</f>
        <v>8252813312.1999998</v>
      </c>
      <c r="P19" s="348">
        <f>'bev-int'!C43</f>
        <v>8252813312.1999998</v>
      </c>
    </row>
    <row r="20" spans="1:16">
      <c r="A20" s="355" t="s">
        <v>94</v>
      </c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8"/>
      <c r="N20" s="359"/>
      <c r="O20" s="349"/>
    </row>
    <row r="21" spans="1:16">
      <c r="A21" s="360" t="str">
        <f>'kiad-int'!A8</f>
        <v>Személyi juttatások</v>
      </c>
      <c r="B21" s="361">
        <v>89899</v>
      </c>
      <c r="C21" s="361">
        <v>90500</v>
      </c>
      <c r="D21" s="361">
        <v>90500</v>
      </c>
      <c r="E21" s="361">
        <v>90500</v>
      </c>
      <c r="F21" s="361">
        <v>90500</v>
      </c>
      <c r="G21" s="361">
        <v>93500</v>
      </c>
      <c r="H21" s="361">
        <v>91500</v>
      </c>
      <c r="I21" s="361">
        <v>90500</v>
      </c>
      <c r="J21" s="361">
        <v>90500</v>
      </c>
      <c r="K21" s="361">
        <v>90500</v>
      </c>
      <c r="L21" s="361">
        <v>90500</v>
      </c>
      <c r="M21" s="361">
        <v>89914</v>
      </c>
      <c r="N21" s="362">
        <f>SUM(B21:M21)</f>
        <v>1088813</v>
      </c>
      <c r="O21" s="349">
        <f>'kiad-int'!C8</f>
        <v>1088813277</v>
      </c>
      <c r="P21" s="348">
        <f>'kiad-int'!C8</f>
        <v>1088813277</v>
      </c>
    </row>
    <row r="22" spans="1:16">
      <c r="A22" s="360" t="str">
        <f>'kiad-int'!A9</f>
        <v>Munkaadókat terhelő járulékok</v>
      </c>
      <c r="B22" s="361">
        <v>15781</v>
      </c>
      <c r="C22" s="361">
        <v>11700</v>
      </c>
      <c r="D22" s="361">
        <v>11700</v>
      </c>
      <c r="E22" s="361">
        <v>15781</v>
      </c>
      <c r="F22" s="361">
        <v>11700</v>
      </c>
      <c r="G22" s="361">
        <v>12100</v>
      </c>
      <c r="H22" s="361">
        <v>16511</v>
      </c>
      <c r="I22" s="361">
        <v>11700</v>
      </c>
      <c r="J22" s="361">
        <v>11700</v>
      </c>
      <c r="K22" s="361">
        <v>15781</v>
      </c>
      <c r="L22" s="361">
        <v>11700</v>
      </c>
      <c r="M22" s="361">
        <v>11500</v>
      </c>
      <c r="N22" s="362">
        <f t="shared" ref="N22:N31" si="2">SUM(B22:M22)</f>
        <v>157654</v>
      </c>
      <c r="O22" s="349">
        <f>'kiad-int'!C9</f>
        <v>157653899</v>
      </c>
      <c r="P22" s="348">
        <f>'kiad-int'!C9</f>
        <v>157653899</v>
      </c>
    </row>
    <row r="23" spans="1:16">
      <c r="A23" s="360" t="str">
        <f>'kiad-int'!A15</f>
        <v>Dologi kiadások</v>
      </c>
      <c r="B23" s="361">
        <v>95000</v>
      </c>
      <c r="C23" s="361">
        <v>95000</v>
      </c>
      <c r="D23" s="361">
        <v>100000</v>
      </c>
      <c r="E23" s="361">
        <v>105000</v>
      </c>
      <c r="F23" s="361">
        <v>100000</v>
      </c>
      <c r="G23" s="361">
        <v>100000</v>
      </c>
      <c r="H23" s="361">
        <v>105000</v>
      </c>
      <c r="I23" s="361">
        <v>94000</v>
      </c>
      <c r="J23" s="361">
        <v>94000</v>
      </c>
      <c r="K23" s="361">
        <v>105000</v>
      </c>
      <c r="L23" s="361">
        <v>115000</v>
      </c>
      <c r="M23" s="361">
        <v>124383</v>
      </c>
      <c r="N23" s="362">
        <f>SUM(B23:M23)</f>
        <v>1232383</v>
      </c>
      <c r="O23" s="349">
        <f>'kiad-int'!C15</f>
        <v>1232383392</v>
      </c>
      <c r="P23" s="348">
        <f>'kiad-int'!C15</f>
        <v>1232383392</v>
      </c>
    </row>
    <row r="24" spans="1:16">
      <c r="A24" s="360" t="str">
        <f>'kiad-int'!A16</f>
        <v>Ellátottak pénzbeli juttatásai</v>
      </c>
      <c r="B24" s="361">
        <v>500</v>
      </c>
      <c r="C24" s="361">
        <v>800</v>
      </c>
      <c r="D24" s="361">
        <v>500</v>
      </c>
      <c r="E24" s="361">
        <v>500</v>
      </c>
      <c r="F24" s="361">
        <v>300</v>
      </c>
      <c r="G24" s="361">
        <v>300</v>
      </c>
      <c r="H24" s="361">
        <v>300</v>
      </c>
      <c r="I24" s="361">
        <v>1200</v>
      </c>
      <c r="J24" s="361">
        <v>1500</v>
      </c>
      <c r="K24" s="361">
        <v>1000</v>
      </c>
      <c r="L24" s="361">
        <v>500</v>
      </c>
      <c r="M24" s="361">
        <v>835</v>
      </c>
      <c r="N24" s="362">
        <f t="shared" si="2"/>
        <v>8235</v>
      </c>
      <c r="O24" s="349">
        <f>'kiad-int'!C16</f>
        <v>8234700</v>
      </c>
      <c r="P24" s="348">
        <f>'kiad-int'!C16</f>
        <v>8234700</v>
      </c>
    </row>
    <row r="25" spans="1:16">
      <c r="A25" s="360" t="str">
        <f>'kiad-int'!A17</f>
        <v>Egyéb működési célú kiadások</v>
      </c>
      <c r="B25" s="361">
        <v>26569</v>
      </c>
      <c r="C25" s="361">
        <v>26569</v>
      </c>
      <c r="D25" s="361">
        <v>26569</v>
      </c>
      <c r="E25" s="361">
        <v>26569</v>
      </c>
      <c r="F25" s="361">
        <v>26569</v>
      </c>
      <c r="G25" s="361">
        <v>26569</v>
      </c>
      <c r="H25" s="361">
        <v>26569</v>
      </c>
      <c r="I25" s="361">
        <v>26569</v>
      </c>
      <c r="J25" s="361">
        <v>26569</v>
      </c>
      <c r="K25" s="361">
        <v>26569</v>
      </c>
      <c r="L25" s="361">
        <v>26569</v>
      </c>
      <c r="M25" s="361">
        <v>152115</v>
      </c>
      <c r="N25" s="362">
        <f t="shared" si="2"/>
        <v>444374</v>
      </c>
      <c r="O25" s="349">
        <f>'kiad-int'!C17</f>
        <v>444373762</v>
      </c>
      <c r="P25" s="348">
        <f>'kiad-int'!C17</f>
        <v>444373762</v>
      </c>
    </row>
    <row r="26" spans="1:16">
      <c r="A26" s="360" t="str">
        <f>'kiad-int'!A19</f>
        <v>Beruházások</v>
      </c>
      <c r="B26" s="361">
        <v>20000</v>
      </c>
      <c r="C26" s="361">
        <v>50000</v>
      </c>
      <c r="D26" s="361">
        <v>30000</v>
      </c>
      <c r="E26" s="361">
        <v>20000</v>
      </c>
      <c r="F26" s="361">
        <v>50000</v>
      </c>
      <c r="G26" s="361">
        <v>30000</v>
      </c>
      <c r="H26" s="361">
        <v>20000</v>
      </c>
      <c r="I26" s="361">
        <v>50000</v>
      </c>
      <c r="J26" s="361">
        <v>30000</v>
      </c>
      <c r="K26" s="361">
        <v>48932</v>
      </c>
      <c r="L26" s="361">
        <v>50000</v>
      </c>
      <c r="M26" s="361">
        <v>32964</v>
      </c>
      <c r="N26" s="362">
        <f t="shared" si="2"/>
        <v>431896</v>
      </c>
      <c r="O26" s="349">
        <f>'kiad-int'!C19</f>
        <v>431896471</v>
      </c>
      <c r="P26" s="348">
        <f>'kiad-int'!C19</f>
        <v>431896471</v>
      </c>
    </row>
    <row r="27" spans="1:16">
      <c r="A27" s="360" t="str">
        <f>'kiad-int'!A20</f>
        <v>Felújítások</v>
      </c>
      <c r="B27" s="361">
        <v>50000</v>
      </c>
      <c r="C27" s="363">
        <v>32000</v>
      </c>
      <c r="D27" s="363">
        <v>200000</v>
      </c>
      <c r="E27" s="363">
        <v>400000</v>
      </c>
      <c r="F27" s="363">
        <v>500000</v>
      </c>
      <c r="G27" s="363">
        <v>700000</v>
      </c>
      <c r="H27" s="363">
        <v>654004</v>
      </c>
      <c r="I27" s="363">
        <v>300000</v>
      </c>
      <c r="J27" s="363">
        <v>200000</v>
      </c>
      <c r="K27" s="363">
        <v>120000</v>
      </c>
      <c r="L27" s="363">
        <v>100000</v>
      </c>
      <c r="M27" s="364">
        <v>102873</v>
      </c>
      <c r="N27" s="362">
        <f t="shared" si="2"/>
        <v>3358877</v>
      </c>
      <c r="O27" s="349">
        <f>'kiad-int'!C20</f>
        <v>3358876760</v>
      </c>
      <c r="P27" s="348">
        <f>'kiad-int'!C20</f>
        <v>3358876760</v>
      </c>
    </row>
    <row r="28" spans="1:16">
      <c r="A28" s="360" t="str">
        <f>'kiad-int'!A21</f>
        <v>Egyéb felhalmozási célú kiadások</v>
      </c>
      <c r="B28" s="361"/>
      <c r="C28" s="361"/>
      <c r="D28" s="361"/>
      <c r="E28" s="361">
        <v>15120</v>
      </c>
      <c r="F28" s="361">
        <v>70000</v>
      </c>
      <c r="G28" s="361">
        <v>1000</v>
      </c>
      <c r="H28" s="361"/>
      <c r="I28" s="361">
        <v>13725</v>
      </c>
      <c r="J28" s="361"/>
      <c r="K28" s="361">
        <v>1000</v>
      </c>
      <c r="L28" s="363"/>
      <c r="M28" s="364"/>
      <c r="N28" s="362">
        <f t="shared" si="2"/>
        <v>100845</v>
      </c>
      <c r="O28" s="349">
        <f>'kiad-int'!C21</f>
        <v>100845133</v>
      </c>
      <c r="P28" s="348">
        <f>'kiad-int'!C21</f>
        <v>100845133</v>
      </c>
    </row>
    <row r="29" spans="1:16">
      <c r="A29" s="480" t="s">
        <v>500</v>
      </c>
      <c r="B29" s="361">
        <v>43377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4"/>
      <c r="N29" s="362">
        <f t="shared" si="2"/>
        <v>43377</v>
      </c>
      <c r="O29" s="349">
        <f>'kiad-int'!I26</f>
        <v>43376844</v>
      </c>
      <c r="P29" s="348">
        <f>'kiad-int'!C26</f>
        <v>43376844</v>
      </c>
    </row>
    <row r="30" spans="1:16">
      <c r="A30" s="366" t="s">
        <v>448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72"/>
      <c r="N30" s="362">
        <f t="shared" si="2"/>
        <v>0</v>
      </c>
      <c r="O30" s="349"/>
      <c r="P30" s="348">
        <f>'kiad-int'!C28</f>
        <v>0</v>
      </c>
    </row>
    <row r="31" spans="1:16" ht="13.5" thickBot="1">
      <c r="A31" s="366" t="str">
        <f>'kiad-int'!A27</f>
        <v>Központi, irányító szervi támogatás folyósítása</v>
      </c>
      <c r="B31" s="365">
        <v>110359</v>
      </c>
      <c r="C31" s="365">
        <v>116000</v>
      </c>
      <c r="D31" s="365">
        <v>116000</v>
      </c>
      <c r="E31" s="365">
        <v>116000</v>
      </c>
      <c r="F31" s="365">
        <v>116000</v>
      </c>
      <c r="G31" s="365">
        <v>116000</v>
      </c>
      <c r="H31" s="365">
        <v>116000</v>
      </c>
      <c r="I31" s="365">
        <v>116000</v>
      </c>
      <c r="J31" s="365">
        <v>116000</v>
      </c>
      <c r="K31" s="365">
        <v>116000</v>
      </c>
      <c r="L31" s="365">
        <v>116000</v>
      </c>
      <c r="M31" s="365">
        <v>116000</v>
      </c>
      <c r="N31" s="362">
        <f t="shared" si="2"/>
        <v>1386359</v>
      </c>
      <c r="O31" s="349">
        <f>'kiad-int'!I27</f>
        <v>1386359074</v>
      </c>
      <c r="P31" s="348">
        <f>'kiad-int'!C27</f>
        <v>1386359074</v>
      </c>
    </row>
    <row r="32" spans="1:16" ht="13.5" thickBot="1">
      <c r="A32" s="373" t="s">
        <v>67</v>
      </c>
      <c r="B32" s="374">
        <f>SUM(B21:B31)</f>
        <v>451485</v>
      </c>
      <c r="C32" s="375">
        <f t="shared" ref="C32:M32" si="3">SUM(C21:C31)</f>
        <v>422569</v>
      </c>
      <c r="D32" s="375">
        <f t="shared" si="3"/>
        <v>575269</v>
      </c>
      <c r="E32" s="375">
        <f t="shared" si="3"/>
        <v>789470</v>
      </c>
      <c r="F32" s="375">
        <f t="shared" si="3"/>
        <v>965069</v>
      </c>
      <c r="G32" s="375">
        <f t="shared" si="3"/>
        <v>1079469</v>
      </c>
      <c r="H32" s="375">
        <f t="shared" si="3"/>
        <v>1029884</v>
      </c>
      <c r="I32" s="375">
        <f t="shared" si="3"/>
        <v>703694</v>
      </c>
      <c r="J32" s="375">
        <f t="shared" si="3"/>
        <v>570269</v>
      </c>
      <c r="K32" s="375">
        <f t="shared" si="3"/>
        <v>524782</v>
      </c>
      <c r="L32" s="375">
        <f t="shared" si="3"/>
        <v>510269</v>
      </c>
      <c r="M32" s="376">
        <f t="shared" si="3"/>
        <v>630584</v>
      </c>
      <c r="N32" s="377">
        <f>SUM(B32:M32)</f>
        <v>8252813</v>
      </c>
      <c r="O32" s="371">
        <f>'kiad-int'!C33</f>
        <v>8252813312</v>
      </c>
      <c r="P32" s="348">
        <f>'kiad-int'!C33</f>
        <v>8252813312</v>
      </c>
    </row>
    <row r="33" spans="1:15" ht="13.5" thickBot="1">
      <c r="A33" s="378" t="s">
        <v>220</v>
      </c>
      <c r="B33" s="379">
        <f t="shared" ref="B33:M33" si="4">B19-B32</f>
        <v>2879113</v>
      </c>
      <c r="C33" s="379">
        <f t="shared" si="4"/>
        <v>-154240</v>
      </c>
      <c r="D33" s="379">
        <f t="shared" si="4"/>
        <v>-306940</v>
      </c>
      <c r="E33" s="379">
        <f t="shared" si="4"/>
        <v>-509645</v>
      </c>
      <c r="F33" s="379">
        <f t="shared" si="4"/>
        <v>993951</v>
      </c>
      <c r="G33" s="379">
        <f t="shared" si="4"/>
        <v>-799449</v>
      </c>
      <c r="H33" s="379">
        <f t="shared" si="4"/>
        <v>-749864</v>
      </c>
      <c r="I33" s="379">
        <f t="shared" si="4"/>
        <v>-420224</v>
      </c>
      <c r="J33" s="379">
        <f t="shared" si="4"/>
        <v>-177141</v>
      </c>
      <c r="K33" s="379">
        <f t="shared" si="4"/>
        <v>-241654</v>
      </c>
      <c r="L33" s="379">
        <f t="shared" si="4"/>
        <v>-227135</v>
      </c>
      <c r="M33" s="379">
        <f t="shared" si="4"/>
        <v>-286772</v>
      </c>
      <c r="N33" s="380">
        <f>SUM(B33:M33)</f>
        <v>0</v>
      </c>
      <c r="O33" s="349"/>
    </row>
    <row r="34" spans="1:15">
      <c r="O34" s="349"/>
    </row>
    <row r="35" spans="1:15">
      <c r="O35" s="349"/>
    </row>
  </sheetData>
  <mergeCells count="1">
    <mergeCell ref="A3:N3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scale="67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7AE6-A58E-4863-A752-3100FF20E986}">
  <sheetPr>
    <pageSetUpPr fitToPage="1"/>
  </sheetPr>
  <dimension ref="A1:J101"/>
  <sheetViews>
    <sheetView workbookViewId="0">
      <selection activeCell="M18" sqref="M18"/>
    </sheetView>
  </sheetViews>
  <sheetFormatPr defaultRowHeight="12.75"/>
  <cols>
    <col min="1" max="1" width="12.28515625" style="219" bestFit="1" customWidth="1"/>
    <col min="2" max="2" width="103.7109375" style="16" bestFit="1" customWidth="1"/>
    <col min="3" max="3" width="11.42578125" style="16" customWidth="1"/>
    <col min="4" max="4" width="11.85546875" style="16" customWidth="1"/>
    <col min="5" max="5" width="11.140625" style="16" bestFit="1" customWidth="1"/>
    <col min="6" max="6" width="11.42578125" style="16" customWidth="1"/>
    <col min="7" max="7" width="11.85546875" style="16" customWidth="1"/>
    <col min="8" max="8" width="11.140625" style="16" bestFit="1" customWidth="1"/>
    <col min="9" max="9" width="9.140625" style="16"/>
    <col min="10" max="10" width="9.85546875" style="16" bestFit="1" customWidth="1"/>
    <col min="11" max="16384" width="9.140625" style="16"/>
  </cols>
  <sheetData>
    <row r="1" spans="1:10">
      <c r="A1" s="447" t="s">
        <v>132</v>
      </c>
      <c r="B1" s="41" t="str">
        <f>'bev-int'!B1</f>
        <v>melléklet a …/2024. (.  .) önkormányzati rendelethez</v>
      </c>
    </row>
    <row r="2" spans="1:10">
      <c r="A2" s="447"/>
      <c r="B2" s="41"/>
    </row>
    <row r="3" spans="1:10" s="157" customFormat="1" ht="15.75">
      <c r="A3" s="1257" t="s">
        <v>801</v>
      </c>
      <c r="B3" s="1257"/>
    </row>
    <row r="4" spans="1:10" s="157" customFormat="1" ht="17.25" customHeight="1">
      <c r="A4" s="448"/>
      <c r="C4" s="1258" t="s">
        <v>438</v>
      </c>
      <c r="D4" s="1258"/>
      <c r="E4" s="1258"/>
      <c r="F4" s="1258" t="s">
        <v>439</v>
      </c>
      <c r="G4" s="1258"/>
      <c r="H4" s="1258"/>
    </row>
    <row r="5" spans="1:10" s="1024" customFormat="1" ht="30">
      <c r="A5" s="1022" t="s">
        <v>349</v>
      </c>
      <c r="B5" s="1022" t="s">
        <v>802</v>
      </c>
      <c r="C5" s="1023" t="s">
        <v>350</v>
      </c>
      <c r="D5" s="1023" t="s">
        <v>351</v>
      </c>
      <c r="E5" s="1023" t="s">
        <v>352</v>
      </c>
      <c r="F5" s="1023" t="s">
        <v>350</v>
      </c>
      <c r="G5" s="1023" t="s">
        <v>351</v>
      </c>
      <c r="H5" s="1023" t="s">
        <v>352</v>
      </c>
    </row>
    <row r="6" spans="1:10" s="452" customFormat="1" ht="15">
      <c r="A6" s="1025" t="s">
        <v>803</v>
      </c>
      <c r="B6" s="1025" t="s">
        <v>804</v>
      </c>
      <c r="C6" s="1026">
        <v>6633500</v>
      </c>
      <c r="D6" s="1027">
        <v>25.33</v>
      </c>
      <c r="E6" s="1028">
        <f>C6*D6</f>
        <v>168026555</v>
      </c>
      <c r="F6" s="1026">
        <v>6633500</v>
      </c>
      <c r="G6" s="1027">
        <v>25.33</v>
      </c>
      <c r="H6" s="1028">
        <f>F6*G6</f>
        <v>168026555</v>
      </c>
      <c r="J6" s="1026"/>
    </row>
    <row r="7" spans="1:10" s="452" customFormat="1" ht="15">
      <c r="A7" s="1025" t="s">
        <v>805</v>
      </c>
      <c r="B7" s="1025" t="s">
        <v>806</v>
      </c>
      <c r="C7" s="1028">
        <v>0</v>
      </c>
      <c r="D7" s="1029"/>
      <c r="E7" s="1028">
        <v>124666319</v>
      </c>
      <c r="F7" s="1028">
        <v>0</v>
      </c>
      <c r="G7" s="1029"/>
      <c r="H7" s="1028">
        <v>124666319</v>
      </c>
      <c r="J7" s="1026"/>
    </row>
    <row r="8" spans="1:10" s="452" customFormat="1" ht="15">
      <c r="A8" s="1025" t="s">
        <v>566</v>
      </c>
      <c r="B8" s="1025" t="s">
        <v>807</v>
      </c>
      <c r="C8" s="1026">
        <v>6633500</v>
      </c>
      <c r="D8" s="1027">
        <v>25.33</v>
      </c>
      <c r="E8" s="1028">
        <f>C8*D8</f>
        <v>168026555</v>
      </c>
      <c r="F8" s="1026">
        <v>6633500</v>
      </c>
      <c r="G8" s="1027">
        <v>25.33</v>
      </c>
      <c r="H8" s="1028">
        <f>F8*G8</f>
        <v>168026555</v>
      </c>
      <c r="J8" s="1026"/>
    </row>
    <row r="9" spans="1:10" s="452" customFormat="1" ht="15">
      <c r="A9" s="1025" t="s">
        <v>567</v>
      </c>
      <c r="B9" s="1025" t="s">
        <v>568</v>
      </c>
      <c r="C9" s="1028">
        <v>26000</v>
      </c>
      <c r="D9" s="1029"/>
      <c r="E9" s="1028">
        <v>12643800</v>
      </c>
      <c r="F9" s="1028">
        <v>26000</v>
      </c>
      <c r="G9" s="1029"/>
      <c r="H9" s="1028">
        <v>12643800</v>
      </c>
      <c r="J9" s="1026"/>
    </row>
    <row r="10" spans="1:10" s="452" customFormat="1" ht="15">
      <c r="A10" s="1025" t="s">
        <v>808</v>
      </c>
      <c r="B10" s="1025" t="s">
        <v>809</v>
      </c>
      <c r="C10" s="1028">
        <v>0</v>
      </c>
      <c r="D10" s="1029"/>
      <c r="E10" s="1028">
        <v>13366500</v>
      </c>
      <c r="F10" s="1028">
        <v>0</v>
      </c>
      <c r="G10" s="1029"/>
      <c r="H10" s="1028">
        <v>13366500</v>
      </c>
      <c r="J10" s="1026"/>
    </row>
    <row r="11" spans="1:10" s="452" customFormat="1" ht="15">
      <c r="A11" s="452" t="s">
        <v>810</v>
      </c>
      <c r="B11" s="452" t="s">
        <v>811</v>
      </c>
      <c r="C11" s="1028"/>
      <c r="D11" s="1029"/>
      <c r="E11" s="1028">
        <f>5150000</f>
        <v>5150000</v>
      </c>
      <c r="F11" s="1028"/>
      <c r="G11" s="1029"/>
      <c r="H11" s="1028">
        <f>5150000+850000</f>
        <v>6000000</v>
      </c>
      <c r="J11" s="1026"/>
    </row>
    <row r="12" spans="1:10" s="452" customFormat="1" ht="15">
      <c r="A12" s="1025" t="s">
        <v>569</v>
      </c>
      <c r="B12" s="1025" t="s">
        <v>570</v>
      </c>
      <c r="C12" s="1028">
        <v>0</v>
      </c>
      <c r="D12" s="1029"/>
      <c r="E12" s="1028">
        <v>4562630</v>
      </c>
      <c r="F12" s="1028">
        <v>0</v>
      </c>
      <c r="G12" s="1029"/>
      <c r="H12" s="1028">
        <v>4562630</v>
      </c>
      <c r="J12" s="1026"/>
    </row>
    <row r="13" spans="1:10" s="452" customFormat="1" ht="15">
      <c r="A13" s="1025" t="s">
        <v>571</v>
      </c>
      <c r="B13" s="1025" t="s">
        <v>572</v>
      </c>
      <c r="C13" s="1028"/>
      <c r="D13" s="1029"/>
      <c r="E13" s="1028">
        <v>7411005</v>
      </c>
      <c r="F13" s="1028"/>
      <c r="G13" s="1029"/>
      <c r="H13" s="1028">
        <v>7411005</v>
      </c>
      <c r="J13" s="1026"/>
    </row>
    <row r="14" spans="1:10" s="452" customFormat="1" ht="15">
      <c r="A14" s="1025" t="s">
        <v>573</v>
      </c>
      <c r="B14" s="1025" t="s">
        <v>227</v>
      </c>
      <c r="C14" s="1028"/>
      <c r="D14" s="1025"/>
      <c r="E14" s="1028">
        <v>15472800</v>
      </c>
      <c r="F14" s="1028"/>
      <c r="G14" s="1025"/>
      <c r="H14" s="1028">
        <v>15472800</v>
      </c>
      <c r="J14" s="1026"/>
    </row>
    <row r="15" spans="1:10" s="452" customFormat="1" ht="15">
      <c r="A15" s="1025" t="s">
        <v>574</v>
      </c>
      <c r="B15" s="1025" t="s">
        <v>812</v>
      </c>
      <c r="C15" s="1028">
        <v>2550</v>
      </c>
      <c r="D15" s="1025"/>
      <c r="E15" s="1028">
        <v>377400</v>
      </c>
      <c r="F15" s="1028">
        <v>2550</v>
      </c>
      <c r="G15" s="1025"/>
      <c r="H15" s="1028">
        <v>377400</v>
      </c>
      <c r="J15" s="1026"/>
    </row>
    <row r="16" spans="1:10" s="452" customFormat="1" ht="15">
      <c r="A16" s="1035" t="s">
        <v>575</v>
      </c>
      <c r="B16" s="1035" t="s">
        <v>576</v>
      </c>
      <c r="C16" s="1036"/>
      <c r="D16" s="1035"/>
      <c r="E16" s="1036">
        <f>SUM(E8:E15)</f>
        <v>227010690</v>
      </c>
      <c r="F16" s="1036"/>
      <c r="G16" s="1035"/>
      <c r="H16" s="1036">
        <f>SUM(H8:H15)</f>
        <v>227860690</v>
      </c>
      <c r="J16" s="1026"/>
    </row>
    <row r="17" spans="1:10" s="452" customFormat="1" ht="15">
      <c r="A17" s="1025"/>
      <c r="B17" s="1025"/>
      <c r="C17" s="1028"/>
      <c r="D17" s="1025"/>
      <c r="E17" s="1028"/>
      <c r="F17" s="1028"/>
      <c r="G17" s="1025"/>
      <c r="H17" s="1028"/>
      <c r="J17" s="1026"/>
    </row>
    <row r="18" spans="1:10" s="452" customFormat="1" ht="15">
      <c r="A18" s="1025" t="s">
        <v>577</v>
      </c>
      <c r="B18" s="1025" t="s">
        <v>578</v>
      </c>
      <c r="C18" s="1028">
        <v>172374</v>
      </c>
      <c r="D18" s="1032">
        <v>179.3</v>
      </c>
      <c r="E18" s="1028">
        <f>C18*D18</f>
        <v>30906658.200000003</v>
      </c>
      <c r="F18" s="1028">
        <v>172374</v>
      </c>
      <c r="G18" s="1032">
        <v>179.3</v>
      </c>
      <c r="H18" s="1028">
        <f>F18*G18</f>
        <v>30906658.200000003</v>
      </c>
      <c r="J18" s="1026"/>
    </row>
    <row r="19" spans="1:10" s="452" customFormat="1" ht="15">
      <c r="A19" s="1025" t="s">
        <v>579</v>
      </c>
      <c r="B19" s="1025" t="s">
        <v>580</v>
      </c>
      <c r="C19" s="1028">
        <v>8372000</v>
      </c>
      <c r="D19" s="1032">
        <v>15.4</v>
      </c>
      <c r="E19" s="1028">
        <f>C19*D19</f>
        <v>128928800</v>
      </c>
      <c r="F19" s="1028">
        <v>8372000</v>
      </c>
      <c r="G19" s="1032">
        <v>15.5</v>
      </c>
      <c r="H19" s="1028">
        <f>F19*G19</f>
        <v>129766000</v>
      </c>
      <c r="J19" s="1026"/>
    </row>
    <row r="20" spans="1:10" s="452" customFormat="1" ht="15">
      <c r="A20" s="1025" t="s">
        <v>581</v>
      </c>
      <c r="B20" s="1025" t="s">
        <v>582</v>
      </c>
      <c r="C20" s="1028">
        <v>717000</v>
      </c>
      <c r="D20" s="1032">
        <v>2</v>
      </c>
      <c r="E20" s="1028">
        <f>C20*D20</f>
        <v>1434000</v>
      </c>
      <c r="F20" s="1028">
        <v>717000</v>
      </c>
      <c r="G20" s="1032">
        <v>2</v>
      </c>
      <c r="H20" s="1028">
        <f>F20*G20</f>
        <v>1434000</v>
      </c>
      <c r="J20" s="1026"/>
    </row>
    <row r="21" spans="1:10" s="452" customFormat="1" ht="15">
      <c r="A21" s="1025" t="s">
        <v>583</v>
      </c>
      <c r="B21" s="1025" t="s">
        <v>584</v>
      </c>
      <c r="C21" s="1028">
        <v>5268000</v>
      </c>
      <c r="D21" s="1028">
        <v>11</v>
      </c>
      <c r="E21" s="1028">
        <f>C21*D21</f>
        <v>57948000</v>
      </c>
      <c r="F21" s="1028">
        <v>5268000</v>
      </c>
      <c r="G21" s="1028">
        <v>11</v>
      </c>
      <c r="H21" s="1028">
        <f>F21*G21</f>
        <v>57948000</v>
      </c>
      <c r="J21" s="1026"/>
    </row>
    <row r="22" spans="1:10" s="452" customFormat="1" ht="15">
      <c r="A22" s="1035" t="s">
        <v>585</v>
      </c>
      <c r="B22" s="1035" t="s">
        <v>353</v>
      </c>
      <c r="C22" s="1036"/>
      <c r="D22" s="1035"/>
      <c r="E22" s="1036">
        <f>SUM(E18:E21)</f>
        <v>219217458.19999999</v>
      </c>
      <c r="F22" s="1036"/>
      <c r="G22" s="1035"/>
      <c r="H22" s="1036">
        <f>SUM(H18:H21)</f>
        <v>220054658.19999999</v>
      </c>
      <c r="J22" s="1026"/>
    </row>
    <row r="23" spans="1:10" s="452" customFormat="1" ht="15">
      <c r="A23" s="1025"/>
      <c r="B23" s="1025"/>
      <c r="C23" s="1028"/>
      <c r="D23" s="1025"/>
      <c r="E23" s="1028"/>
      <c r="F23" s="1028"/>
      <c r="G23" s="1025"/>
      <c r="H23" s="1028"/>
      <c r="J23" s="1026"/>
    </row>
    <row r="24" spans="1:10" s="452" customFormat="1" ht="15">
      <c r="A24" s="1025" t="s">
        <v>586</v>
      </c>
      <c r="B24" s="1029" t="s">
        <v>228</v>
      </c>
      <c r="C24" s="1028">
        <v>6643100</v>
      </c>
      <c r="D24" s="1028">
        <v>36537050</v>
      </c>
      <c r="E24" s="1028">
        <v>36537050</v>
      </c>
      <c r="F24" s="1028">
        <v>6643100</v>
      </c>
      <c r="G24" s="1028">
        <v>36537050</v>
      </c>
      <c r="H24" s="1028">
        <v>36537050</v>
      </c>
      <c r="J24" s="1026"/>
    </row>
    <row r="25" spans="1:10" s="452" customFormat="1" ht="15">
      <c r="A25" s="1025" t="s">
        <v>587</v>
      </c>
      <c r="B25" s="1029" t="s">
        <v>354</v>
      </c>
      <c r="C25" s="1028">
        <v>6510300</v>
      </c>
      <c r="D25" s="1028">
        <v>32551500</v>
      </c>
      <c r="E25" s="1028">
        <v>32551500</v>
      </c>
      <c r="F25" s="1028">
        <v>6510300</v>
      </c>
      <c r="G25" s="1028">
        <v>32551500</v>
      </c>
      <c r="H25" s="1028">
        <v>32551500</v>
      </c>
      <c r="J25" s="1026"/>
    </row>
    <row r="26" spans="1:10" s="452" customFormat="1" ht="15">
      <c r="A26" s="452" t="s">
        <v>813</v>
      </c>
      <c r="B26" s="452" t="s">
        <v>814</v>
      </c>
      <c r="C26" s="1028">
        <v>4864</v>
      </c>
      <c r="D26" s="1028">
        <v>2407</v>
      </c>
      <c r="E26" s="1028">
        <f>C26*D26</f>
        <v>11707648</v>
      </c>
      <c r="F26" s="1028">
        <v>4864</v>
      </c>
      <c r="G26" s="1028">
        <v>2407</v>
      </c>
      <c r="H26" s="1028">
        <f>F26*G26</f>
        <v>11707648</v>
      </c>
      <c r="J26" s="1026"/>
    </row>
    <row r="27" spans="1:10" s="452" customFormat="1" ht="15">
      <c r="A27" s="1025" t="s">
        <v>588</v>
      </c>
      <c r="B27" s="1029" t="s">
        <v>589</v>
      </c>
      <c r="C27" s="1028">
        <v>84860</v>
      </c>
      <c r="D27" s="1028">
        <v>60</v>
      </c>
      <c r="E27" s="1028">
        <f>C27*D27</f>
        <v>5091600</v>
      </c>
      <c r="F27" s="1028">
        <v>84860</v>
      </c>
      <c r="G27" s="1028">
        <v>60</v>
      </c>
      <c r="H27" s="1028">
        <f>F27*G27</f>
        <v>5091600</v>
      </c>
      <c r="J27" s="1026"/>
    </row>
    <row r="28" spans="1:10" s="452" customFormat="1" ht="15">
      <c r="A28" s="1025" t="s">
        <v>590</v>
      </c>
      <c r="B28" s="1029" t="s">
        <v>591</v>
      </c>
      <c r="C28" s="1028">
        <v>25000</v>
      </c>
      <c r="D28" s="1028">
        <v>1</v>
      </c>
      <c r="E28" s="1028">
        <f>C28*D28</f>
        <v>25000</v>
      </c>
      <c r="F28" s="1028">
        <v>25000</v>
      </c>
      <c r="G28" s="1028">
        <v>1</v>
      </c>
      <c r="H28" s="1028">
        <f>F28*G28</f>
        <v>25000</v>
      </c>
      <c r="J28" s="1026"/>
    </row>
    <row r="29" spans="1:10" s="452" customFormat="1" ht="15">
      <c r="A29" s="1025" t="s">
        <v>592</v>
      </c>
      <c r="B29" s="1029" t="s">
        <v>593</v>
      </c>
      <c r="C29" s="1028">
        <v>783310</v>
      </c>
      <c r="D29" s="1028">
        <v>62</v>
      </c>
      <c r="E29" s="1028">
        <f>C29*D29</f>
        <v>48565220</v>
      </c>
      <c r="F29" s="1028">
        <v>783310</v>
      </c>
      <c r="G29" s="1028">
        <v>57</v>
      </c>
      <c r="H29" s="1028">
        <f>F29*G29</f>
        <v>44648670</v>
      </c>
      <c r="J29" s="1026"/>
    </row>
    <row r="30" spans="1:10" s="452" customFormat="1" ht="15">
      <c r="A30" s="1025" t="s">
        <v>594</v>
      </c>
      <c r="B30" s="1029" t="s">
        <v>595</v>
      </c>
      <c r="C30" s="1028">
        <v>6047200</v>
      </c>
      <c r="D30" s="1028">
        <v>72</v>
      </c>
      <c r="E30" s="1028">
        <f>C30*6</f>
        <v>36283200</v>
      </c>
      <c r="F30" s="1028">
        <v>6047200</v>
      </c>
      <c r="G30" s="1028">
        <v>72</v>
      </c>
      <c r="H30" s="1028">
        <f>F30*6</f>
        <v>36283200</v>
      </c>
      <c r="J30" s="1026"/>
    </row>
    <row r="31" spans="1:10" s="452" customFormat="1" ht="15">
      <c r="A31" s="1025" t="s">
        <v>596</v>
      </c>
      <c r="B31" s="1029" t="s">
        <v>597</v>
      </c>
      <c r="C31" s="1028">
        <v>349830</v>
      </c>
      <c r="D31" s="1028">
        <v>26</v>
      </c>
      <c r="E31" s="1028">
        <f>C31*D31</f>
        <v>9095580</v>
      </c>
      <c r="F31" s="1028"/>
      <c r="G31" s="1028">
        <v>0</v>
      </c>
      <c r="H31" s="1028">
        <v>0</v>
      </c>
      <c r="J31" s="1026"/>
    </row>
    <row r="32" spans="1:10" s="452" customFormat="1" ht="15">
      <c r="A32" s="1025" t="s">
        <v>847</v>
      </c>
      <c r="B32" s="1029" t="s">
        <v>848</v>
      </c>
      <c r="C32" s="1028"/>
      <c r="D32" s="1028"/>
      <c r="E32" s="1028"/>
      <c r="F32" s="1028">
        <v>524740</v>
      </c>
      <c r="G32" s="1028">
        <v>29</v>
      </c>
      <c r="H32" s="1028">
        <f>F32*G32</f>
        <v>15217460</v>
      </c>
      <c r="J32" s="1026"/>
    </row>
    <row r="33" spans="1:10" s="452" customFormat="1" ht="15">
      <c r="A33" s="1025" t="s">
        <v>598</v>
      </c>
      <c r="B33" s="1025" t="s">
        <v>599</v>
      </c>
      <c r="C33" s="1028">
        <v>6838000</v>
      </c>
      <c r="D33" s="1032">
        <v>5</v>
      </c>
      <c r="E33" s="1028">
        <f>C33*D33</f>
        <v>34190000</v>
      </c>
      <c r="F33" s="1028">
        <v>6838000</v>
      </c>
      <c r="G33" s="1032">
        <v>4.8</v>
      </c>
      <c r="H33" s="1028">
        <f>F33*G33</f>
        <v>32822400</v>
      </c>
      <c r="J33" s="1026"/>
    </row>
    <row r="34" spans="1:10" s="452" customFormat="1" ht="15">
      <c r="A34" s="1025" t="s">
        <v>600</v>
      </c>
      <c r="B34" s="1025" t="s">
        <v>460</v>
      </c>
      <c r="C34" s="1028"/>
      <c r="D34" s="1028"/>
      <c r="E34" s="1028">
        <v>5555600</v>
      </c>
      <c r="F34" s="1028"/>
      <c r="G34" s="1028"/>
      <c r="H34" s="1028">
        <f>5555600-2103200</f>
        <v>3452400</v>
      </c>
      <c r="J34" s="1026"/>
    </row>
    <row r="35" spans="1:10" s="452" customFormat="1" ht="15">
      <c r="A35" s="1025" t="s">
        <v>601</v>
      </c>
      <c r="B35" s="1025" t="s">
        <v>602</v>
      </c>
      <c r="C35" s="1028">
        <v>7248900</v>
      </c>
      <c r="D35" s="1028">
        <v>44</v>
      </c>
      <c r="E35" s="1028">
        <f>C35*D35</f>
        <v>318951600</v>
      </c>
      <c r="F35" s="1028">
        <v>7248900</v>
      </c>
      <c r="G35" s="1028">
        <v>44</v>
      </c>
      <c r="H35" s="1028">
        <f>F35*G35</f>
        <v>318951600</v>
      </c>
      <c r="J35" s="1026"/>
    </row>
    <row r="36" spans="1:10" s="452" customFormat="1" ht="15">
      <c r="A36" s="1025" t="s">
        <v>603</v>
      </c>
      <c r="B36" s="1025" t="s">
        <v>604</v>
      </c>
      <c r="C36" s="1028"/>
      <c r="D36" s="1028"/>
      <c r="E36" s="1028">
        <v>128263465</v>
      </c>
      <c r="F36" s="1028"/>
      <c r="G36" s="1028"/>
      <c r="H36" s="1028">
        <f>128263465+21537972</f>
        <v>149801437</v>
      </c>
      <c r="J36" s="1026"/>
    </row>
    <row r="37" spans="1:10" s="452" customFormat="1" ht="15">
      <c r="A37" s="1035" t="s">
        <v>605</v>
      </c>
      <c r="B37" s="1035" t="s">
        <v>815</v>
      </c>
      <c r="C37" s="1036"/>
      <c r="D37" s="1035"/>
      <c r="E37" s="1036">
        <f>SUM(E24:E36)</f>
        <v>666817463</v>
      </c>
      <c r="F37" s="1036"/>
      <c r="G37" s="1035"/>
      <c r="H37" s="1036">
        <f>SUM(H24:H36)</f>
        <v>687089965</v>
      </c>
      <c r="J37" s="1026"/>
    </row>
    <row r="38" spans="1:10" s="452" customFormat="1" ht="15">
      <c r="A38" s="1025"/>
      <c r="B38" s="1025"/>
      <c r="C38" s="1028"/>
      <c r="D38" s="1025"/>
      <c r="E38" s="1028"/>
      <c r="F38" s="1028"/>
      <c r="G38" s="1025"/>
      <c r="H38" s="1028"/>
      <c r="J38" s="1026"/>
    </row>
    <row r="39" spans="1:10" s="452" customFormat="1" ht="15">
      <c r="A39" s="1025" t="s">
        <v>606</v>
      </c>
      <c r="B39" s="1025" t="s">
        <v>607</v>
      </c>
      <c r="C39" s="1028">
        <v>3620000</v>
      </c>
      <c r="D39" s="1025">
        <v>9.2799999999999994</v>
      </c>
      <c r="E39" s="1028">
        <f>C39*D39</f>
        <v>33593600</v>
      </c>
      <c r="F39" s="1028">
        <v>3620000</v>
      </c>
      <c r="G39" s="1025">
        <v>8.92</v>
      </c>
      <c r="H39" s="1028">
        <f>F39*G39</f>
        <v>32290400</v>
      </c>
      <c r="J39" s="1026"/>
    </row>
    <row r="40" spans="1:10" s="452" customFormat="1" ht="15">
      <c r="A40" s="1025" t="s">
        <v>608</v>
      </c>
      <c r="B40" s="1025" t="s">
        <v>609</v>
      </c>
      <c r="C40" s="1028">
        <v>0</v>
      </c>
      <c r="D40" s="1025"/>
      <c r="E40" s="1028">
        <v>49097438</v>
      </c>
      <c r="F40" s="1028">
        <v>0</v>
      </c>
      <c r="G40" s="1025"/>
      <c r="H40" s="1028">
        <f>49097438-1673149</f>
        <v>47424289</v>
      </c>
      <c r="J40" s="1026"/>
    </row>
    <row r="41" spans="1:10" s="452" customFormat="1" ht="15">
      <c r="A41" s="1025" t="s">
        <v>610</v>
      </c>
      <c r="B41" s="1025" t="s">
        <v>611</v>
      </c>
      <c r="C41" s="1028">
        <v>285</v>
      </c>
      <c r="D41" s="1025">
        <v>737</v>
      </c>
      <c r="E41" s="1028">
        <v>210045</v>
      </c>
      <c r="F41" s="1028">
        <v>285</v>
      </c>
      <c r="G41" s="1025">
        <v>696</v>
      </c>
      <c r="H41" s="1028">
        <f>F41*G41</f>
        <v>198360</v>
      </c>
      <c r="J41" s="1026"/>
    </row>
    <row r="42" spans="1:10" s="452" customFormat="1" ht="15">
      <c r="A42" s="1035" t="s">
        <v>612</v>
      </c>
      <c r="B42" s="1035" t="s">
        <v>613</v>
      </c>
      <c r="C42" s="1036"/>
      <c r="D42" s="1035"/>
      <c r="E42" s="1036">
        <f>SUM(E39:E41)</f>
        <v>82901083</v>
      </c>
      <c r="F42" s="1036"/>
      <c r="G42" s="1035"/>
      <c r="H42" s="1036">
        <f>SUM(H39:H41)</f>
        <v>79913049</v>
      </c>
      <c r="J42" s="1026"/>
    </row>
    <row r="43" spans="1:10" s="452" customFormat="1" ht="15">
      <c r="A43" s="1030"/>
      <c r="B43" s="1030"/>
      <c r="C43" s="1031"/>
      <c r="D43" s="1030"/>
      <c r="E43" s="1031"/>
      <c r="F43" s="1031"/>
      <c r="G43" s="1030"/>
      <c r="H43" s="1031"/>
      <c r="J43" s="1026"/>
    </row>
    <row r="44" spans="1:10" s="452" customFormat="1" ht="15">
      <c r="A44" s="1025" t="s">
        <v>614</v>
      </c>
      <c r="B44" s="1025" t="s">
        <v>816</v>
      </c>
      <c r="C44" s="1028">
        <v>2213</v>
      </c>
      <c r="D44" s="1028"/>
      <c r="E44" s="1028">
        <v>12229038</v>
      </c>
      <c r="F44" s="1028">
        <v>2213</v>
      </c>
      <c r="G44" s="1028"/>
      <c r="H44" s="1028">
        <v>12229038</v>
      </c>
      <c r="J44" s="1026"/>
    </row>
    <row r="45" spans="1:10" s="452" customFormat="1" ht="15">
      <c r="A45" s="1025"/>
      <c r="B45" s="1037" t="s">
        <v>818</v>
      </c>
      <c r="C45" s="1028"/>
      <c r="D45" s="1028"/>
      <c r="E45" s="1028">
        <v>3516119</v>
      </c>
      <c r="F45" s="1028"/>
      <c r="G45" s="1028"/>
      <c r="H45" s="1028">
        <f>3516119+1304472</f>
        <v>4820591</v>
      </c>
      <c r="J45" s="1026"/>
    </row>
    <row r="46" spans="1:10" s="452" customFormat="1" ht="15">
      <c r="A46" s="1025"/>
      <c r="B46" s="1037" t="s">
        <v>844</v>
      </c>
      <c r="C46" s="1028"/>
      <c r="D46" s="1028"/>
      <c r="E46" s="1028">
        <v>1481000</v>
      </c>
      <c r="F46" s="1028"/>
      <c r="G46" s="1028"/>
      <c r="H46" s="1028">
        <v>1481000</v>
      </c>
      <c r="J46" s="1026"/>
    </row>
    <row r="47" spans="1:10" s="452" customFormat="1" ht="15">
      <c r="A47" s="1035" t="s">
        <v>615</v>
      </c>
      <c r="B47" s="1035" t="s">
        <v>355</v>
      </c>
      <c r="C47" s="1036"/>
      <c r="D47" s="1035"/>
      <c r="E47" s="1036">
        <f>SUM(E44:E46)</f>
        <v>17226157</v>
      </c>
      <c r="F47" s="1036"/>
      <c r="G47" s="1035"/>
      <c r="H47" s="1036">
        <f>SUM(H44:H46)</f>
        <v>18530629</v>
      </c>
      <c r="J47" s="1026"/>
    </row>
    <row r="48" spans="1:10" s="452" customFormat="1" ht="15">
      <c r="A48" s="1025"/>
      <c r="B48" s="1025"/>
      <c r="C48" s="1028"/>
      <c r="D48" s="1025"/>
      <c r="E48" s="1028"/>
      <c r="F48" s="1028"/>
      <c r="G48" s="1025"/>
      <c r="H48" s="1028"/>
      <c r="J48" s="1026"/>
    </row>
    <row r="49" spans="1:10" s="452" customFormat="1" ht="15">
      <c r="A49" s="1030" t="s">
        <v>96</v>
      </c>
      <c r="B49" s="1030" t="s">
        <v>817</v>
      </c>
      <c r="C49" s="1031"/>
      <c r="D49" s="1030"/>
      <c r="E49" s="1031">
        <v>101403119</v>
      </c>
      <c r="F49" s="1031"/>
      <c r="G49" s="1030"/>
      <c r="H49" s="1031">
        <v>101403119</v>
      </c>
      <c r="J49" s="1026"/>
    </row>
    <row r="50" spans="1:10" s="1034" customFormat="1" ht="15">
      <c r="A50" s="1033"/>
      <c r="J50" s="1026"/>
    </row>
    <row r="51" spans="1:10" s="1034" customFormat="1" ht="15">
      <c r="A51" s="1043"/>
      <c r="B51" s="1044" t="s">
        <v>845</v>
      </c>
      <c r="C51" s="1044"/>
      <c r="D51" s="1044"/>
      <c r="E51" s="1044"/>
      <c r="F51" s="1044"/>
      <c r="G51" s="1044"/>
      <c r="H51" s="1044">
        <v>1274350</v>
      </c>
      <c r="J51" s="1026"/>
    </row>
    <row r="52" spans="1:10" s="1034" customFormat="1" ht="15">
      <c r="A52" s="1043"/>
      <c r="B52" s="1044" t="s">
        <v>846</v>
      </c>
      <c r="C52" s="1044"/>
      <c r="D52" s="1044"/>
      <c r="E52" s="1044"/>
      <c r="F52" s="1044"/>
      <c r="G52" s="1044"/>
      <c r="H52" s="1044">
        <v>39222369</v>
      </c>
      <c r="J52" s="1026"/>
    </row>
    <row r="53" spans="1:10" s="1034" customFormat="1" ht="30">
      <c r="A53" s="1043"/>
      <c r="B53" s="1045" t="s">
        <v>849</v>
      </c>
      <c r="C53" s="1044"/>
      <c r="D53" s="1044"/>
      <c r="E53" s="1044"/>
      <c r="F53" s="1044"/>
      <c r="G53" s="1044"/>
      <c r="H53" s="1044">
        <v>13015000</v>
      </c>
      <c r="J53" s="1026"/>
    </row>
    <row r="54" spans="1:10" s="1034" customFormat="1" ht="15">
      <c r="A54" s="1033"/>
      <c r="J54" s="1026"/>
    </row>
    <row r="55" spans="1:10" s="1034" customFormat="1" ht="15">
      <c r="A55" s="1033"/>
      <c r="J55" s="1026"/>
    </row>
    <row r="56" spans="1:10" s="1034" customFormat="1" ht="15">
      <c r="A56" s="1033"/>
      <c r="J56" s="1026"/>
    </row>
    <row r="57" spans="1:10" s="1034" customFormat="1" ht="15">
      <c r="A57" s="1033"/>
    </row>
    <row r="58" spans="1:10" s="1034" customFormat="1" ht="15">
      <c r="A58" s="1033"/>
    </row>
    <row r="59" spans="1:10" s="1034" customFormat="1" ht="15">
      <c r="A59" s="1033"/>
    </row>
    <row r="60" spans="1:10" s="1034" customFormat="1" ht="15">
      <c r="A60" s="1033"/>
    </row>
    <row r="61" spans="1:10" s="1034" customFormat="1" ht="15">
      <c r="A61" s="1033"/>
    </row>
    <row r="62" spans="1:10" s="1034" customFormat="1" ht="15">
      <c r="A62" s="1033"/>
    </row>
    <row r="63" spans="1:10" s="1034" customFormat="1" ht="15">
      <c r="A63" s="1033"/>
    </row>
    <row r="64" spans="1:10" s="1034" customFormat="1" ht="15">
      <c r="A64" s="1033"/>
    </row>
    <row r="65" spans="1:1" s="1034" customFormat="1" ht="15">
      <c r="A65" s="1033"/>
    </row>
    <row r="66" spans="1:1" s="1034" customFormat="1" ht="15">
      <c r="A66" s="1033"/>
    </row>
    <row r="67" spans="1:1" s="1034" customFormat="1" ht="15">
      <c r="A67" s="1033"/>
    </row>
    <row r="68" spans="1:1" s="1034" customFormat="1" ht="15">
      <c r="A68" s="1033"/>
    </row>
    <row r="69" spans="1:1" s="1034" customFormat="1" ht="15">
      <c r="A69" s="1033"/>
    </row>
    <row r="70" spans="1:1" s="1034" customFormat="1" ht="15">
      <c r="A70" s="1033"/>
    </row>
    <row r="71" spans="1:1" s="1034" customFormat="1" ht="15">
      <c r="A71" s="1033"/>
    </row>
    <row r="72" spans="1:1" s="1034" customFormat="1" ht="15">
      <c r="A72" s="1033"/>
    </row>
    <row r="73" spans="1:1" s="1034" customFormat="1" ht="15">
      <c r="A73" s="1033"/>
    </row>
    <row r="74" spans="1:1" s="1034" customFormat="1" ht="15">
      <c r="A74" s="1033"/>
    </row>
    <row r="75" spans="1:1" s="1034" customFormat="1" ht="15">
      <c r="A75" s="1033"/>
    </row>
    <row r="76" spans="1:1" s="1034" customFormat="1" ht="15">
      <c r="A76" s="1033"/>
    </row>
    <row r="77" spans="1:1" s="1034" customFormat="1" ht="15">
      <c r="A77" s="1033"/>
    </row>
    <row r="78" spans="1:1" s="1034" customFormat="1" ht="15">
      <c r="A78" s="1033"/>
    </row>
    <row r="79" spans="1:1" s="1034" customFormat="1" ht="15">
      <c r="A79" s="1033"/>
    </row>
    <row r="80" spans="1:1" s="1034" customFormat="1" ht="15">
      <c r="A80" s="1033"/>
    </row>
    <row r="81" spans="1:1" s="1034" customFormat="1" ht="15">
      <c r="A81" s="1033"/>
    </row>
    <row r="82" spans="1:1" s="1034" customFormat="1" ht="15">
      <c r="A82" s="1033"/>
    </row>
    <row r="83" spans="1:1" s="1034" customFormat="1" ht="15">
      <c r="A83" s="1033"/>
    </row>
    <row r="84" spans="1:1" s="1034" customFormat="1" ht="15">
      <c r="A84" s="1033"/>
    </row>
    <row r="85" spans="1:1" s="1034" customFormat="1" ht="15">
      <c r="A85" s="1033"/>
    </row>
    <row r="86" spans="1:1" s="1034" customFormat="1" ht="15">
      <c r="A86" s="1033"/>
    </row>
    <row r="87" spans="1:1" s="1034" customFormat="1" ht="15">
      <c r="A87" s="1033"/>
    </row>
    <row r="88" spans="1:1" s="1034" customFormat="1" ht="15">
      <c r="A88" s="1033"/>
    </row>
    <row r="89" spans="1:1" s="1034" customFormat="1" ht="15">
      <c r="A89" s="1033"/>
    </row>
    <row r="90" spans="1:1" s="1034" customFormat="1" ht="15">
      <c r="A90" s="1033"/>
    </row>
    <row r="91" spans="1:1" s="1034" customFormat="1" ht="15">
      <c r="A91" s="1033"/>
    </row>
    <row r="92" spans="1:1" s="1034" customFormat="1" ht="15">
      <c r="A92" s="1033"/>
    </row>
    <row r="93" spans="1:1" s="1034" customFormat="1" ht="15">
      <c r="A93" s="1033"/>
    </row>
    <row r="94" spans="1:1" s="1034" customFormat="1" ht="15">
      <c r="A94" s="1033"/>
    </row>
    <row r="95" spans="1:1" s="1034" customFormat="1" ht="15">
      <c r="A95" s="1033"/>
    </row>
    <row r="96" spans="1:1" s="1034" customFormat="1" ht="15">
      <c r="A96" s="1033"/>
    </row>
    <row r="97" spans="1:1" s="1034" customFormat="1" ht="15">
      <c r="A97" s="1033"/>
    </row>
    <row r="98" spans="1:1" s="1034" customFormat="1" ht="15">
      <c r="A98" s="1033"/>
    </row>
    <row r="99" spans="1:1" s="1034" customFormat="1" ht="15">
      <c r="A99" s="1033"/>
    </row>
    <row r="100" spans="1:1" s="157" customFormat="1">
      <c r="A100" s="448"/>
    </row>
    <row r="101" spans="1:1" s="157" customFormat="1">
      <c r="A101" s="448"/>
    </row>
  </sheetData>
  <mergeCells count="3">
    <mergeCell ref="A3:B3"/>
    <mergeCell ref="C4:E4"/>
    <mergeCell ref="F4:H4"/>
  </mergeCells>
  <phoneticPr fontId="1" type="noConversion"/>
  <pageMargins left="0.6692913385826772" right="0.23622047244094491" top="0.15748031496062992" bottom="0.19685039370078741" header="0.15748031496062992" footer="0.19685039370078741"/>
  <pageSetup paperSize="9" scale="71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403B-9952-449C-A376-9599ABD2A6C6}">
  <sheetPr>
    <pageSetUpPr fitToPage="1"/>
  </sheetPr>
  <dimension ref="A1:Y68"/>
  <sheetViews>
    <sheetView workbookViewId="0">
      <selection activeCell="K61" sqref="K61"/>
    </sheetView>
  </sheetViews>
  <sheetFormatPr defaultRowHeight="12.75"/>
  <cols>
    <col min="1" max="1" width="47" customWidth="1"/>
    <col min="2" max="2" width="12.85546875" customWidth="1"/>
    <col min="3" max="3" width="10.85546875" bestFit="1" customWidth="1"/>
    <col min="4" max="4" width="10.5703125" customWidth="1"/>
    <col min="5" max="5" width="9.5703125" customWidth="1"/>
    <col min="6" max="6" width="8.7109375" bestFit="1" customWidth="1"/>
    <col min="7" max="7" width="6.28515625" customWidth="1"/>
    <col min="8" max="8" width="7.85546875" bestFit="1" customWidth="1"/>
    <col min="9" max="9" width="8.42578125" bestFit="1" customWidth="1"/>
    <col min="10" max="11" width="9.5703125" bestFit="1" customWidth="1"/>
    <col min="12" max="13" width="10.85546875" bestFit="1" customWidth="1"/>
    <col min="14" max="15" width="9.5703125" bestFit="1" customWidth="1"/>
    <col min="16" max="16" width="9.28515625" customWidth="1"/>
    <col min="17" max="17" width="10.140625" customWidth="1"/>
    <col min="18" max="18" width="12.7109375" customWidth="1"/>
    <col min="19" max="19" width="10.85546875" customWidth="1"/>
    <col min="20" max="21" width="10.85546875" bestFit="1" customWidth="1"/>
    <col min="22" max="23" width="8.7109375" bestFit="1" customWidth="1"/>
  </cols>
  <sheetData>
    <row r="1" spans="1:25" s="158" customFormat="1">
      <c r="G1" s="238"/>
      <c r="I1" s="238"/>
      <c r="K1" s="238"/>
      <c r="M1" s="238"/>
      <c r="O1" s="238"/>
      <c r="Q1" s="238" t="s">
        <v>341</v>
      </c>
      <c r="R1" s="449" t="str">
        <f>'Áll.hj.'!B1</f>
        <v>melléklet a …/2024. (.  .) önkormányzati rendelethez</v>
      </c>
    </row>
    <row r="2" spans="1:25" s="158" customFormat="1"/>
    <row r="3" spans="1:25" s="452" customFormat="1" ht="15">
      <c r="A3" s="1266" t="s">
        <v>820</v>
      </c>
      <c r="B3" s="1266"/>
      <c r="C3" s="1266"/>
      <c r="D3" s="1266"/>
      <c r="E3" s="1266"/>
      <c r="F3" s="1266"/>
      <c r="G3" s="1266"/>
      <c r="H3" s="1266"/>
      <c r="I3" s="1266"/>
      <c r="J3" s="1266"/>
      <c r="K3" s="1266"/>
      <c r="L3" s="1266"/>
      <c r="M3" s="1266"/>
      <c r="N3" s="1266"/>
      <c r="O3" s="1266"/>
      <c r="P3" s="1266"/>
      <c r="Q3" s="1266"/>
      <c r="R3" s="1266"/>
      <c r="S3" s="1266"/>
      <c r="T3" s="1266"/>
      <c r="U3" s="1266"/>
      <c r="V3" s="463"/>
      <c r="W3" s="463"/>
    </row>
    <row r="4" spans="1:25" s="158" customFormat="1" ht="13.5" thickBot="1">
      <c r="A4" s="450"/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</row>
    <row r="5" spans="1:25" s="158" customFormat="1" ht="13.5" thickBot="1">
      <c r="A5" s="1271" t="s">
        <v>235</v>
      </c>
      <c r="B5" s="1272"/>
      <c r="C5" s="1272"/>
      <c r="D5" s="1272"/>
      <c r="E5" s="1273"/>
      <c r="F5" s="1261" t="s">
        <v>236</v>
      </c>
      <c r="G5" s="1262"/>
      <c r="H5" s="1262"/>
      <c r="I5" s="1262"/>
      <c r="J5" s="1262"/>
      <c r="K5" s="1262"/>
      <c r="L5" s="1262"/>
      <c r="M5" s="1262"/>
      <c r="N5" s="1262"/>
      <c r="O5" s="1262"/>
      <c r="P5" s="1262"/>
      <c r="Q5" s="1262"/>
      <c r="R5" s="1262"/>
      <c r="S5" s="1262"/>
      <c r="T5" s="1262"/>
      <c r="U5" s="1262"/>
      <c r="V5" s="1262"/>
      <c r="W5" s="1263"/>
    </row>
    <row r="6" spans="1:25" s="158" customFormat="1">
      <c r="A6" s="1267" t="s">
        <v>55</v>
      </c>
      <c r="B6" s="1259" t="s">
        <v>478</v>
      </c>
      <c r="C6" s="1260" t="s">
        <v>479</v>
      </c>
      <c r="D6" s="1274" t="s">
        <v>0</v>
      </c>
      <c r="E6" s="1275"/>
      <c r="F6" s="1265" t="s">
        <v>482</v>
      </c>
      <c r="G6" s="1264"/>
      <c r="H6" s="1264" t="s">
        <v>483</v>
      </c>
      <c r="I6" s="1264"/>
      <c r="J6" s="1264" t="s">
        <v>481</v>
      </c>
      <c r="K6" s="1264"/>
      <c r="L6" s="1264" t="s">
        <v>487</v>
      </c>
      <c r="M6" s="1264"/>
      <c r="N6" s="1264" t="s">
        <v>547</v>
      </c>
      <c r="O6" s="1264"/>
      <c r="P6" s="1264" t="s">
        <v>107</v>
      </c>
      <c r="Q6" s="1264"/>
      <c r="R6" s="1264" t="s">
        <v>244</v>
      </c>
      <c r="S6" s="1264"/>
      <c r="T6" s="1259" t="s">
        <v>243</v>
      </c>
      <c r="U6" s="1259"/>
      <c r="V6" s="1259" t="s">
        <v>486</v>
      </c>
      <c r="W6" s="1260"/>
    </row>
    <row r="7" spans="1:25" s="158" customFormat="1">
      <c r="A7" s="1268"/>
      <c r="B7" s="1269"/>
      <c r="C7" s="1270"/>
      <c r="D7" s="455" t="s">
        <v>438</v>
      </c>
      <c r="E7" s="453" t="s">
        <v>439</v>
      </c>
      <c r="F7" s="455" t="s">
        <v>438</v>
      </c>
      <c r="G7" s="453" t="s">
        <v>439</v>
      </c>
      <c r="H7" s="453" t="s">
        <v>438</v>
      </c>
      <c r="I7" s="453" t="s">
        <v>439</v>
      </c>
      <c r="J7" s="453" t="s">
        <v>438</v>
      </c>
      <c r="K7" s="453" t="s">
        <v>439</v>
      </c>
      <c r="L7" s="453" t="s">
        <v>438</v>
      </c>
      <c r="M7" s="453" t="s">
        <v>439</v>
      </c>
      <c r="N7" s="453" t="s">
        <v>438</v>
      </c>
      <c r="O7" s="453" t="s">
        <v>439</v>
      </c>
      <c r="P7" s="453" t="s">
        <v>438</v>
      </c>
      <c r="Q7" s="453" t="s">
        <v>439</v>
      </c>
      <c r="R7" s="453" t="s">
        <v>438</v>
      </c>
      <c r="S7" s="453" t="s">
        <v>439</v>
      </c>
      <c r="T7" s="453" t="s">
        <v>438</v>
      </c>
      <c r="U7" s="453" t="s">
        <v>439</v>
      </c>
      <c r="V7" s="453" t="s">
        <v>438</v>
      </c>
      <c r="W7" s="456" t="s">
        <v>439</v>
      </c>
    </row>
    <row r="8" spans="1:25" s="459" customFormat="1" ht="12">
      <c r="A8" s="461" t="s">
        <v>819</v>
      </c>
      <c r="B8" s="458">
        <f t="shared" ref="B8:B59" si="0">F8+H8+J8+L8+P8+R8+T8+V8+N8</f>
        <v>43376844</v>
      </c>
      <c r="C8" s="458">
        <f>G8+I8+K8+M8+Q8+S8+U8+W8+O8</f>
        <v>43376844</v>
      </c>
      <c r="D8" s="525"/>
      <c r="E8" s="525"/>
      <c r="F8" s="504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>
        <v>43376844</v>
      </c>
      <c r="W8" s="516">
        <v>43376844</v>
      </c>
    </row>
    <row r="9" spans="1:25" s="459" customFormat="1" ht="25.5">
      <c r="A9" s="441" t="s">
        <v>821</v>
      </c>
      <c r="B9" s="458">
        <f t="shared" si="0"/>
        <v>149992600</v>
      </c>
      <c r="C9" s="458">
        <f t="shared" ref="C9:C61" si="1">G9+I9+K9+M9+Q9+S9+U9+W9+O9</f>
        <v>149992600</v>
      </c>
      <c r="D9" s="525"/>
      <c r="E9" s="525"/>
      <c r="F9" s="506"/>
      <c r="G9" s="507"/>
      <c r="H9" s="507"/>
      <c r="I9" s="507"/>
      <c r="J9" s="507">
        <v>508000</v>
      </c>
      <c r="K9" s="515">
        <v>508000</v>
      </c>
      <c r="L9" s="507"/>
      <c r="M9" s="507"/>
      <c r="N9" s="507"/>
      <c r="O9" s="507"/>
      <c r="P9" s="507"/>
      <c r="Q9" s="507"/>
      <c r="R9" s="507"/>
      <c r="S9" s="507"/>
      <c r="T9" s="508">
        <v>149484600</v>
      </c>
      <c r="U9" s="517">
        <v>149484600</v>
      </c>
      <c r="V9" s="508"/>
      <c r="W9" s="460"/>
    </row>
    <row r="10" spans="1:25" s="459" customFormat="1" ht="26.25" customHeight="1">
      <c r="A10" s="461" t="s">
        <v>485</v>
      </c>
      <c r="B10" s="458">
        <f t="shared" si="0"/>
        <v>14000000</v>
      </c>
      <c r="C10" s="458">
        <f t="shared" si="1"/>
        <v>14000000</v>
      </c>
      <c r="D10" s="525"/>
      <c r="E10" s="525"/>
      <c r="F10" s="514"/>
      <c r="G10" s="518"/>
      <c r="H10" s="507"/>
      <c r="I10" s="507"/>
      <c r="J10" s="507">
        <v>275000</v>
      </c>
      <c r="K10" s="515">
        <v>275000</v>
      </c>
      <c r="L10" s="507"/>
      <c r="M10" s="507"/>
      <c r="N10" s="507">
        <v>13725000</v>
      </c>
      <c r="O10" s="515">
        <v>13725000</v>
      </c>
      <c r="P10" s="507"/>
      <c r="Q10" s="507"/>
      <c r="R10" s="507"/>
      <c r="S10" s="507"/>
      <c r="T10" s="508"/>
      <c r="U10" s="517"/>
      <c r="V10" s="508"/>
      <c r="W10" s="460"/>
    </row>
    <row r="11" spans="1:25" s="459" customFormat="1" ht="12" hidden="1">
      <c r="A11" s="461" t="s">
        <v>466</v>
      </c>
      <c r="B11" s="458">
        <f t="shared" si="0"/>
        <v>0</v>
      </c>
      <c r="C11" s="458">
        <f t="shared" si="1"/>
        <v>0</v>
      </c>
      <c r="D11" s="525"/>
      <c r="E11" s="525"/>
      <c r="F11" s="520"/>
      <c r="G11" s="51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8"/>
      <c r="U11" s="517"/>
      <c r="V11" s="508"/>
      <c r="W11" s="460"/>
      <c r="Y11" s="464"/>
    </row>
    <row r="12" spans="1:25" s="459" customFormat="1" ht="14.25" hidden="1" customHeight="1">
      <c r="A12" s="300"/>
      <c r="B12" s="458">
        <f t="shared" si="0"/>
        <v>0</v>
      </c>
      <c r="C12" s="458">
        <f t="shared" si="1"/>
        <v>0</v>
      </c>
      <c r="D12" s="525"/>
      <c r="E12" s="525"/>
      <c r="F12" s="510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08"/>
      <c r="U12" s="517"/>
      <c r="V12" s="508"/>
      <c r="W12" s="460"/>
    </row>
    <row r="13" spans="1:25" s="459" customFormat="1" ht="36.75" customHeight="1">
      <c r="A13" s="461" t="s">
        <v>488</v>
      </c>
      <c r="B13" s="458">
        <f t="shared" si="0"/>
        <v>70000000</v>
      </c>
      <c r="C13" s="458">
        <f t="shared" si="1"/>
        <v>70000000</v>
      </c>
      <c r="D13" s="525"/>
      <c r="E13" s="525"/>
      <c r="F13" s="512"/>
      <c r="G13" s="513"/>
      <c r="H13" s="513"/>
      <c r="I13" s="513"/>
      <c r="J13" s="513"/>
      <c r="K13" s="513"/>
      <c r="L13" s="513"/>
      <c r="M13" s="513"/>
      <c r="N13" s="513">
        <v>70000000</v>
      </c>
      <c r="O13" s="513">
        <v>70000000</v>
      </c>
      <c r="P13" s="513"/>
      <c r="Q13" s="513"/>
      <c r="R13" s="513"/>
      <c r="S13" s="513"/>
      <c r="T13" s="505"/>
      <c r="U13" s="516"/>
      <c r="V13" s="508"/>
      <c r="W13" s="460"/>
      <c r="Y13" s="464"/>
    </row>
    <row r="14" spans="1:25" s="459" customFormat="1" ht="12">
      <c r="A14" s="497" t="s">
        <v>822</v>
      </c>
      <c r="B14" s="458">
        <f t="shared" si="0"/>
        <v>254064694</v>
      </c>
      <c r="C14" s="458">
        <f t="shared" si="1"/>
        <v>254064694</v>
      </c>
      <c r="D14" s="525"/>
      <c r="E14" s="525"/>
      <c r="F14" s="512"/>
      <c r="G14" s="513"/>
      <c r="H14" s="513"/>
      <c r="I14" s="513"/>
      <c r="J14" s="513">
        <v>68915804</v>
      </c>
      <c r="K14" s="513">
        <v>68915804</v>
      </c>
      <c r="L14" s="513"/>
      <c r="M14" s="513"/>
      <c r="N14" s="513"/>
      <c r="O14" s="513"/>
      <c r="P14" s="513"/>
      <c r="Q14" s="513"/>
      <c r="R14" s="513">
        <v>185148890</v>
      </c>
      <c r="S14" s="513">
        <v>185148890</v>
      </c>
      <c r="T14" s="516"/>
      <c r="U14" s="516"/>
      <c r="V14" s="517"/>
      <c r="W14" s="503"/>
      <c r="Y14" s="464"/>
    </row>
    <row r="15" spans="1:25" s="459" customFormat="1" ht="25.5">
      <c r="A15" s="991" t="s">
        <v>678</v>
      </c>
      <c r="B15" s="458">
        <f t="shared" si="0"/>
        <v>181750197</v>
      </c>
      <c r="C15" s="458">
        <f t="shared" si="1"/>
        <v>181750197</v>
      </c>
      <c r="D15" s="525"/>
      <c r="E15" s="525"/>
      <c r="F15" s="512"/>
      <c r="G15" s="513"/>
      <c r="H15" s="513"/>
      <c r="I15" s="513"/>
      <c r="J15" s="513">
        <v>4207950</v>
      </c>
      <c r="K15" s="513">
        <v>4207950</v>
      </c>
      <c r="L15" s="513"/>
      <c r="M15" s="513"/>
      <c r="N15" s="513"/>
      <c r="O15" s="513"/>
      <c r="P15" s="513"/>
      <c r="Q15" s="513"/>
      <c r="R15" s="513"/>
      <c r="S15" s="513"/>
      <c r="T15" s="516">
        <v>177542247</v>
      </c>
      <c r="U15" s="516">
        <v>177542247</v>
      </c>
      <c r="V15" s="517"/>
      <c r="W15" s="503"/>
      <c r="Y15" s="464"/>
    </row>
    <row r="16" spans="1:25" s="459" customFormat="1" ht="25.5">
      <c r="A16" s="991" t="s">
        <v>824</v>
      </c>
      <c r="B16" s="458">
        <f t="shared" si="0"/>
        <v>228785046</v>
      </c>
      <c r="C16" s="458">
        <f t="shared" si="1"/>
        <v>228785046</v>
      </c>
      <c r="D16" s="525"/>
      <c r="E16" s="525"/>
      <c r="F16" s="512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>
        <v>152523363</v>
      </c>
      <c r="S16" s="513">
        <v>152523363</v>
      </c>
      <c r="T16" s="516">
        <v>76261683</v>
      </c>
      <c r="U16" s="516">
        <v>76261683</v>
      </c>
      <c r="V16" s="517"/>
      <c r="W16" s="503"/>
      <c r="Y16" s="464"/>
    </row>
    <row r="17" spans="1:25" s="459" customFormat="1">
      <c r="A17" s="446" t="s">
        <v>679</v>
      </c>
      <c r="B17" s="458">
        <f t="shared" si="0"/>
        <v>1024883470</v>
      </c>
      <c r="C17" s="458">
        <f t="shared" si="1"/>
        <v>1024883470</v>
      </c>
      <c r="D17" s="525"/>
      <c r="E17" s="525"/>
      <c r="F17" s="512"/>
      <c r="G17" s="513"/>
      <c r="H17" s="513"/>
      <c r="I17" s="513"/>
      <c r="J17" s="513">
        <v>236079612</v>
      </c>
      <c r="K17" s="513">
        <v>236079612</v>
      </c>
      <c r="L17" s="513"/>
      <c r="M17" s="513"/>
      <c r="N17" s="513"/>
      <c r="O17" s="513"/>
      <c r="P17" s="513"/>
      <c r="Q17" s="513"/>
      <c r="R17" s="513"/>
      <c r="S17" s="513"/>
      <c r="T17" s="516">
        <v>788803858</v>
      </c>
      <c r="U17" s="516">
        <v>788803858</v>
      </c>
      <c r="V17" s="517"/>
      <c r="W17" s="503"/>
      <c r="Y17" s="464"/>
    </row>
    <row r="18" spans="1:25" s="459" customFormat="1" ht="12">
      <c r="A18" s="461" t="s">
        <v>680</v>
      </c>
      <c r="B18" s="458">
        <f t="shared" si="0"/>
        <v>400000000</v>
      </c>
      <c r="C18" s="458">
        <f t="shared" si="1"/>
        <v>400000000</v>
      </c>
      <c r="D18" s="525"/>
      <c r="E18" s="525"/>
      <c r="F18" s="512"/>
      <c r="G18" s="513"/>
      <c r="H18" s="513"/>
      <c r="I18" s="513"/>
      <c r="J18" s="513">
        <v>85039370</v>
      </c>
      <c r="K18" s="513">
        <v>85039370</v>
      </c>
      <c r="L18" s="513"/>
      <c r="M18" s="513"/>
      <c r="N18" s="513"/>
      <c r="O18" s="513"/>
      <c r="P18" s="513"/>
      <c r="Q18" s="513"/>
      <c r="R18" s="513"/>
      <c r="S18" s="513"/>
      <c r="T18" s="516">
        <v>314960630</v>
      </c>
      <c r="U18" s="516">
        <v>314960630</v>
      </c>
      <c r="V18" s="517"/>
      <c r="W18" s="503"/>
      <c r="Y18" s="464"/>
    </row>
    <row r="19" spans="1:25" s="459" customFormat="1" ht="12">
      <c r="A19" s="496" t="s">
        <v>823</v>
      </c>
      <c r="B19" s="458">
        <f t="shared" si="0"/>
        <v>65100000</v>
      </c>
      <c r="C19" s="458">
        <f t="shared" si="1"/>
        <v>65100000</v>
      </c>
      <c r="D19" s="525"/>
      <c r="E19" s="525"/>
      <c r="F19" s="512"/>
      <c r="G19" s="513"/>
      <c r="H19" s="513"/>
      <c r="I19" s="513"/>
      <c r="J19" s="513"/>
      <c r="K19" s="513"/>
      <c r="L19" s="513"/>
      <c r="M19" s="513"/>
      <c r="N19" s="513"/>
      <c r="O19" s="513"/>
      <c r="P19" s="513">
        <v>65100000</v>
      </c>
      <c r="Q19" s="513">
        <v>65100000</v>
      </c>
      <c r="R19" s="513"/>
      <c r="S19" s="513"/>
      <c r="T19" s="516"/>
      <c r="U19" s="516"/>
      <c r="V19" s="517"/>
      <c r="W19" s="503"/>
      <c r="Y19" s="464"/>
    </row>
    <row r="20" spans="1:25" s="459" customFormat="1" ht="24">
      <c r="A20" s="427" t="s">
        <v>723</v>
      </c>
      <c r="B20" s="458">
        <f t="shared" si="0"/>
        <v>4248150</v>
      </c>
      <c r="C20" s="458">
        <f t="shared" si="1"/>
        <v>4248150</v>
      </c>
      <c r="D20" s="525"/>
      <c r="E20" s="525"/>
      <c r="F20" s="512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>
        <v>4248150</v>
      </c>
      <c r="S20" s="513">
        <v>4248150</v>
      </c>
      <c r="T20" s="516"/>
      <c r="U20" s="516"/>
      <c r="V20" s="517"/>
      <c r="W20" s="503"/>
      <c r="Y20" s="464"/>
    </row>
    <row r="21" spans="1:25" s="459" customFormat="1" ht="12">
      <c r="A21" s="461" t="s">
        <v>681</v>
      </c>
      <c r="B21" s="458">
        <f t="shared" si="0"/>
        <v>34599999</v>
      </c>
      <c r="C21" s="458">
        <f t="shared" si="1"/>
        <v>34599999</v>
      </c>
      <c r="D21" s="525"/>
      <c r="E21" s="525"/>
      <c r="F21" s="514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6">
        <v>34599999</v>
      </c>
      <c r="S21" s="516">
        <v>34599999</v>
      </c>
      <c r="T21" s="517"/>
      <c r="U21" s="517"/>
      <c r="V21" s="517"/>
      <c r="W21" s="503"/>
    </row>
    <row r="22" spans="1:25" s="459" customFormat="1" ht="12">
      <c r="A22" s="496" t="s">
        <v>736</v>
      </c>
      <c r="B22" s="458">
        <f t="shared" si="0"/>
        <v>508000</v>
      </c>
      <c r="C22" s="458">
        <f t="shared" si="1"/>
        <v>508000</v>
      </c>
      <c r="D22" s="525"/>
      <c r="E22" s="525"/>
      <c r="F22" s="514"/>
      <c r="G22" s="515"/>
      <c r="H22" s="515"/>
      <c r="I22" s="515"/>
      <c r="J22" s="515"/>
      <c r="K22" s="515"/>
      <c r="L22" s="515"/>
      <c r="M22" s="515"/>
      <c r="N22" s="515"/>
      <c r="O22" s="515"/>
      <c r="P22" s="515"/>
      <c r="Q22" s="515"/>
      <c r="R22" s="516">
        <v>508000</v>
      </c>
      <c r="S22" s="516">
        <v>508000</v>
      </c>
      <c r="T22" s="517"/>
      <c r="U22" s="517"/>
      <c r="V22" s="517"/>
      <c r="W22" s="503"/>
    </row>
    <row r="23" spans="1:25" s="459" customFormat="1" ht="12">
      <c r="A23" s="427" t="s">
        <v>726</v>
      </c>
      <c r="B23" s="458">
        <f t="shared" si="0"/>
        <v>1000001</v>
      </c>
      <c r="C23" s="458">
        <f t="shared" si="1"/>
        <v>1000001</v>
      </c>
      <c r="D23" s="525"/>
      <c r="E23" s="525"/>
      <c r="F23" s="514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6">
        <v>1000001</v>
      </c>
      <c r="S23" s="516">
        <v>1000001</v>
      </c>
      <c r="T23" s="517"/>
      <c r="U23" s="517"/>
      <c r="V23" s="517"/>
      <c r="W23" s="503"/>
    </row>
    <row r="24" spans="1:25" s="459" customFormat="1" ht="12">
      <c r="A24" s="427" t="s">
        <v>728</v>
      </c>
      <c r="B24" s="458">
        <f t="shared" si="0"/>
        <v>228600</v>
      </c>
      <c r="C24" s="458">
        <f t="shared" si="1"/>
        <v>228600</v>
      </c>
      <c r="D24" s="525"/>
      <c r="E24" s="525"/>
      <c r="F24" s="514"/>
      <c r="G24" s="515"/>
      <c r="H24" s="515"/>
      <c r="I24" s="515"/>
      <c r="J24" s="515"/>
      <c r="K24" s="515"/>
      <c r="L24" s="515"/>
      <c r="M24" s="515"/>
      <c r="N24" s="515"/>
      <c r="O24" s="515"/>
      <c r="P24" s="515"/>
      <c r="Q24" s="515"/>
      <c r="R24" s="516">
        <v>228600</v>
      </c>
      <c r="S24" s="516">
        <v>228600</v>
      </c>
      <c r="T24" s="517"/>
      <c r="U24" s="517"/>
      <c r="V24" s="517"/>
      <c r="W24" s="503"/>
    </row>
    <row r="25" spans="1:25" s="459" customFormat="1" ht="12">
      <c r="A25" s="427" t="s">
        <v>729</v>
      </c>
      <c r="B25" s="458">
        <f t="shared" si="0"/>
        <v>508000</v>
      </c>
      <c r="C25" s="458">
        <f t="shared" si="1"/>
        <v>508000</v>
      </c>
      <c r="D25" s="525"/>
      <c r="E25" s="525"/>
      <c r="F25" s="514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6">
        <v>508000</v>
      </c>
      <c r="S25" s="516">
        <v>508000</v>
      </c>
      <c r="T25" s="517"/>
      <c r="U25" s="517"/>
      <c r="V25" s="517"/>
      <c r="W25" s="503"/>
    </row>
    <row r="26" spans="1:25" s="459" customFormat="1" ht="12">
      <c r="A26" s="1011" t="s">
        <v>730</v>
      </c>
      <c r="B26" s="458">
        <f t="shared" si="0"/>
        <v>2300000</v>
      </c>
      <c r="C26" s="458">
        <f t="shared" si="1"/>
        <v>2300000</v>
      </c>
      <c r="D26" s="525"/>
      <c r="E26" s="525"/>
      <c r="F26" s="514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6">
        <v>2300000</v>
      </c>
      <c r="S26" s="516">
        <v>2300000</v>
      </c>
      <c r="T26" s="517"/>
      <c r="U26" s="517"/>
      <c r="V26" s="517"/>
      <c r="W26" s="503"/>
    </row>
    <row r="27" spans="1:25" s="459" customFormat="1" ht="12">
      <c r="A27" s="427" t="s">
        <v>731</v>
      </c>
      <c r="B27" s="458">
        <f t="shared" si="0"/>
        <v>500000</v>
      </c>
      <c r="C27" s="458">
        <f t="shared" si="1"/>
        <v>500000</v>
      </c>
      <c r="D27" s="525"/>
      <c r="E27" s="525"/>
      <c r="F27" s="514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6">
        <v>500000</v>
      </c>
      <c r="S27" s="516">
        <v>500000</v>
      </c>
      <c r="T27" s="517"/>
      <c r="U27" s="517"/>
      <c r="V27" s="517"/>
      <c r="W27" s="503"/>
    </row>
    <row r="28" spans="1:25" s="459" customFormat="1" ht="12">
      <c r="A28" s="427" t="s">
        <v>732</v>
      </c>
      <c r="B28" s="458">
        <f t="shared" si="0"/>
        <v>1905000</v>
      </c>
      <c r="C28" s="458">
        <f t="shared" si="1"/>
        <v>1905000</v>
      </c>
      <c r="D28" s="525"/>
      <c r="E28" s="525"/>
      <c r="F28" s="514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6">
        <v>1905000</v>
      </c>
      <c r="S28" s="516">
        <v>1905000</v>
      </c>
      <c r="T28" s="517"/>
      <c r="U28" s="517"/>
      <c r="V28" s="517"/>
      <c r="W28" s="503"/>
    </row>
    <row r="29" spans="1:25" s="459" customFormat="1" ht="24">
      <c r="A29" s="427" t="s">
        <v>733</v>
      </c>
      <c r="B29" s="458">
        <f t="shared" si="0"/>
        <v>1270000</v>
      </c>
      <c r="C29" s="458">
        <f t="shared" si="1"/>
        <v>1270000</v>
      </c>
      <c r="D29" s="525"/>
      <c r="E29" s="525"/>
      <c r="F29" s="506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>
        <v>1270000</v>
      </c>
      <c r="S29" s="515">
        <v>1270000</v>
      </c>
      <c r="T29" s="505"/>
      <c r="U29" s="505"/>
      <c r="V29" s="508"/>
      <c r="W29" s="460"/>
    </row>
    <row r="30" spans="1:25" s="459" customFormat="1" ht="12">
      <c r="A30" s="427" t="s">
        <v>734</v>
      </c>
      <c r="B30" s="458">
        <f t="shared" si="0"/>
        <v>500000</v>
      </c>
      <c r="C30" s="458">
        <f t="shared" si="1"/>
        <v>500000</v>
      </c>
      <c r="D30" s="525"/>
      <c r="E30" s="525"/>
      <c r="F30" s="506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>
        <v>500000</v>
      </c>
      <c r="S30" s="515">
        <v>500000</v>
      </c>
      <c r="T30" s="505"/>
      <c r="U30" s="505"/>
      <c r="V30" s="508"/>
      <c r="W30" s="460"/>
    </row>
    <row r="31" spans="1:25" s="459" customFormat="1" ht="24">
      <c r="A31" s="427" t="s">
        <v>735</v>
      </c>
      <c r="B31" s="458">
        <f t="shared" si="0"/>
        <v>2000000</v>
      </c>
      <c r="C31" s="458">
        <f t="shared" si="1"/>
        <v>2000000</v>
      </c>
      <c r="D31" s="525"/>
      <c r="E31" s="525"/>
      <c r="F31" s="514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>
        <v>2000000</v>
      </c>
      <c r="S31" s="515">
        <v>2000000</v>
      </c>
      <c r="T31" s="516"/>
      <c r="U31" s="516"/>
      <c r="V31" s="517"/>
      <c r="W31" s="503"/>
    </row>
    <row r="32" spans="1:25" s="459" customFormat="1" ht="12">
      <c r="A32" s="461" t="s">
        <v>683</v>
      </c>
      <c r="B32" s="458">
        <f t="shared" si="0"/>
        <v>1138137</v>
      </c>
      <c r="C32" s="458">
        <f t="shared" si="1"/>
        <v>1138137</v>
      </c>
      <c r="D32" s="525"/>
      <c r="E32" s="525"/>
      <c r="F32" s="514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6">
        <v>1138137</v>
      </c>
      <c r="U32" s="516">
        <v>1138137</v>
      </c>
      <c r="V32" s="517"/>
      <c r="W32" s="503"/>
    </row>
    <row r="33" spans="1:23" s="459" customFormat="1" ht="12">
      <c r="A33" s="461" t="s">
        <v>825</v>
      </c>
      <c r="B33" s="458">
        <f t="shared" si="0"/>
        <v>2000000</v>
      </c>
      <c r="C33" s="458">
        <f t="shared" si="1"/>
        <v>2000000</v>
      </c>
      <c r="D33" s="525"/>
      <c r="E33" s="525"/>
      <c r="F33" s="506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5"/>
      <c r="S33" s="505"/>
      <c r="T33" s="508">
        <v>2000000</v>
      </c>
      <c r="U33" s="517">
        <v>2000000</v>
      </c>
      <c r="V33" s="508"/>
      <c r="W33" s="460"/>
    </row>
    <row r="34" spans="1:23" s="459" customFormat="1" ht="12">
      <c r="A34" s="461" t="s">
        <v>480</v>
      </c>
      <c r="B34" s="458">
        <f t="shared" si="0"/>
        <v>153652588</v>
      </c>
      <c r="C34" s="458">
        <f t="shared" si="1"/>
        <v>153652588</v>
      </c>
      <c r="D34" s="525"/>
      <c r="E34" s="525"/>
      <c r="F34" s="514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6"/>
      <c r="S34" s="516"/>
      <c r="T34" s="517">
        <v>153652588</v>
      </c>
      <c r="U34" s="517">
        <v>153652588</v>
      </c>
      <c r="V34" s="517"/>
      <c r="W34" s="503"/>
    </row>
    <row r="35" spans="1:23" s="459" customFormat="1" ht="12">
      <c r="A35" s="461" t="s">
        <v>622</v>
      </c>
      <c r="B35" s="458">
        <f t="shared" si="0"/>
        <v>12700000</v>
      </c>
      <c r="C35" s="458">
        <f t="shared" si="1"/>
        <v>12700000</v>
      </c>
      <c r="D35" s="525"/>
      <c r="E35" s="525"/>
      <c r="F35" s="514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6"/>
      <c r="S35" s="516"/>
      <c r="T35" s="517">
        <v>12700000</v>
      </c>
      <c r="U35" s="517">
        <v>12700000</v>
      </c>
      <c r="V35" s="517"/>
      <c r="W35" s="503"/>
    </row>
    <row r="36" spans="1:23" s="459" customFormat="1" ht="12">
      <c r="A36" s="461" t="s">
        <v>682</v>
      </c>
      <c r="B36" s="458">
        <f t="shared" si="0"/>
        <v>1016000</v>
      </c>
      <c r="C36" s="458">
        <f t="shared" si="1"/>
        <v>1016000</v>
      </c>
      <c r="D36" s="525"/>
      <c r="E36" s="525"/>
      <c r="F36" s="514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6"/>
      <c r="S36" s="516"/>
      <c r="T36" s="517">
        <v>1016000</v>
      </c>
      <c r="U36" s="517">
        <v>1016000</v>
      </c>
      <c r="V36" s="517"/>
      <c r="W36" s="503"/>
    </row>
    <row r="37" spans="1:23" s="459" customFormat="1" ht="12">
      <c r="A37" s="461" t="s">
        <v>826</v>
      </c>
      <c r="B37" s="458">
        <f t="shared" si="0"/>
        <v>14000000</v>
      </c>
      <c r="C37" s="458">
        <f t="shared" si="1"/>
        <v>14000000</v>
      </c>
      <c r="D37" s="525"/>
      <c r="E37" s="525"/>
      <c r="F37" s="514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6"/>
      <c r="S37" s="516"/>
      <c r="T37" s="517">
        <v>14000000</v>
      </c>
      <c r="U37" s="517">
        <v>14000000</v>
      </c>
      <c r="V37" s="517"/>
      <c r="W37" s="503"/>
    </row>
    <row r="38" spans="1:23" s="459" customFormat="1" ht="12">
      <c r="A38" s="461" t="s">
        <v>827</v>
      </c>
      <c r="B38" s="458">
        <f t="shared" si="0"/>
        <v>3302000</v>
      </c>
      <c r="C38" s="458">
        <f t="shared" si="1"/>
        <v>3302000</v>
      </c>
      <c r="D38" s="525"/>
      <c r="E38" s="525"/>
      <c r="F38" s="514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6"/>
      <c r="S38" s="516"/>
      <c r="T38" s="517">
        <v>3302000</v>
      </c>
      <c r="U38" s="517">
        <v>3302000</v>
      </c>
      <c r="V38" s="517"/>
      <c r="W38" s="503"/>
    </row>
    <row r="39" spans="1:23" s="459" customFormat="1" ht="12">
      <c r="A39" s="461" t="s">
        <v>463</v>
      </c>
      <c r="B39" s="458">
        <f t="shared" si="0"/>
        <v>10000000</v>
      </c>
      <c r="C39" s="458">
        <f t="shared" si="1"/>
        <v>10000000</v>
      </c>
      <c r="D39" s="525"/>
      <c r="E39" s="525"/>
      <c r="F39" s="514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6"/>
      <c r="S39" s="516"/>
      <c r="T39" s="517">
        <v>10000000</v>
      </c>
      <c r="U39" s="517">
        <v>10000000</v>
      </c>
      <c r="V39" s="517"/>
      <c r="W39" s="503"/>
    </row>
    <row r="40" spans="1:23" s="459" customFormat="1" ht="12">
      <c r="A40" s="461" t="s">
        <v>484</v>
      </c>
      <c r="B40" s="458">
        <f t="shared" si="0"/>
        <v>19050000</v>
      </c>
      <c r="C40" s="458">
        <f t="shared" si="1"/>
        <v>19050000</v>
      </c>
      <c r="D40" s="525"/>
      <c r="E40" s="525"/>
      <c r="F40" s="514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6"/>
      <c r="S40" s="516"/>
      <c r="T40" s="517">
        <v>19050000</v>
      </c>
      <c r="U40" s="517">
        <v>19050000</v>
      </c>
      <c r="V40" s="517"/>
      <c r="W40" s="503"/>
    </row>
    <row r="41" spans="1:23" s="459" customFormat="1" ht="12">
      <c r="A41" s="461" t="s">
        <v>828</v>
      </c>
      <c r="B41" s="458">
        <f t="shared" si="0"/>
        <v>51500000</v>
      </c>
      <c r="C41" s="458">
        <f t="shared" si="1"/>
        <v>51500000</v>
      </c>
      <c r="D41" s="525"/>
      <c r="E41" s="525"/>
      <c r="F41" s="514"/>
      <c r="G41" s="515"/>
      <c r="H41" s="515"/>
      <c r="I41" s="515"/>
      <c r="J41" s="515"/>
      <c r="K41" s="515"/>
      <c r="L41" s="515"/>
      <c r="M41" s="515"/>
      <c r="N41" s="515"/>
      <c r="O41" s="515"/>
      <c r="P41" s="515"/>
      <c r="Q41" s="515"/>
      <c r="R41" s="516"/>
      <c r="S41" s="516"/>
      <c r="T41" s="517">
        <v>51500000</v>
      </c>
      <c r="U41" s="517">
        <v>51500000</v>
      </c>
      <c r="V41" s="517"/>
      <c r="W41" s="503"/>
    </row>
    <row r="42" spans="1:23" s="459" customFormat="1" ht="12">
      <c r="A42" s="427" t="s">
        <v>746</v>
      </c>
      <c r="B42" s="458">
        <f t="shared" si="0"/>
        <v>9500000</v>
      </c>
      <c r="C42" s="458">
        <f t="shared" si="1"/>
        <v>9500000</v>
      </c>
      <c r="D42" s="525"/>
      <c r="E42" s="525"/>
      <c r="F42" s="514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6"/>
      <c r="S42" s="516"/>
      <c r="T42" s="517">
        <v>9500000</v>
      </c>
      <c r="U42" s="517">
        <v>9500000</v>
      </c>
      <c r="V42" s="517"/>
      <c r="W42" s="503"/>
    </row>
    <row r="43" spans="1:23" s="459" customFormat="1" ht="24">
      <c r="A43" s="427" t="s">
        <v>747</v>
      </c>
      <c r="B43" s="458">
        <f t="shared" si="0"/>
        <v>1500000</v>
      </c>
      <c r="C43" s="458">
        <f t="shared" si="1"/>
        <v>1500000</v>
      </c>
      <c r="D43" s="525"/>
      <c r="E43" s="525"/>
      <c r="F43" s="514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16"/>
      <c r="T43" s="517">
        <v>1500000</v>
      </c>
      <c r="U43" s="517">
        <v>1500000</v>
      </c>
      <c r="V43" s="517"/>
      <c r="W43" s="503"/>
    </row>
    <row r="44" spans="1:23" s="459" customFormat="1" ht="24">
      <c r="A44" s="427" t="s">
        <v>748</v>
      </c>
      <c r="B44" s="458">
        <f t="shared" si="0"/>
        <v>1200000</v>
      </c>
      <c r="C44" s="458">
        <f t="shared" si="1"/>
        <v>1200000</v>
      </c>
      <c r="D44" s="525"/>
      <c r="E44" s="525"/>
      <c r="F44" s="514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6"/>
      <c r="T44" s="517">
        <v>1200000</v>
      </c>
      <c r="U44" s="517">
        <v>1200000</v>
      </c>
      <c r="V44" s="517"/>
      <c r="W44" s="503"/>
    </row>
    <row r="45" spans="1:23" s="459" customFormat="1" ht="12">
      <c r="A45" s="427" t="s">
        <v>749</v>
      </c>
      <c r="B45" s="458">
        <f t="shared" si="0"/>
        <v>1500000</v>
      </c>
      <c r="C45" s="458">
        <f t="shared" si="1"/>
        <v>1500000</v>
      </c>
      <c r="D45" s="525"/>
      <c r="E45" s="525"/>
      <c r="F45" s="514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16"/>
      <c r="T45" s="517">
        <v>1500000</v>
      </c>
      <c r="U45" s="517">
        <v>1500000</v>
      </c>
      <c r="V45" s="517"/>
      <c r="W45" s="503"/>
    </row>
    <row r="46" spans="1:23" s="459" customFormat="1" ht="24">
      <c r="A46" s="427" t="s">
        <v>750</v>
      </c>
      <c r="B46" s="458">
        <f t="shared" si="0"/>
        <v>2500000</v>
      </c>
      <c r="C46" s="458">
        <f t="shared" si="1"/>
        <v>2500000</v>
      </c>
      <c r="D46" s="525"/>
      <c r="E46" s="525"/>
      <c r="F46" s="514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6"/>
      <c r="S46" s="516"/>
      <c r="T46" s="517">
        <v>2500000</v>
      </c>
      <c r="U46" s="517">
        <v>2500000</v>
      </c>
      <c r="V46" s="517"/>
      <c r="W46" s="503"/>
    </row>
    <row r="47" spans="1:23" s="459" customFormat="1" ht="24">
      <c r="A47" s="427" t="s">
        <v>751</v>
      </c>
      <c r="B47" s="458">
        <f t="shared" si="0"/>
        <v>2500000</v>
      </c>
      <c r="C47" s="458">
        <f t="shared" si="1"/>
        <v>2500000</v>
      </c>
      <c r="D47" s="525"/>
      <c r="E47" s="525"/>
      <c r="F47" s="514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6"/>
      <c r="S47" s="516"/>
      <c r="T47" s="517">
        <v>2500000</v>
      </c>
      <c r="U47" s="517">
        <v>2500000</v>
      </c>
      <c r="V47" s="517"/>
      <c r="W47" s="503"/>
    </row>
    <row r="48" spans="1:23" s="459" customFormat="1" ht="24">
      <c r="A48" s="427" t="s">
        <v>829</v>
      </c>
      <c r="B48" s="458">
        <f t="shared" si="0"/>
        <v>5000000</v>
      </c>
      <c r="C48" s="458">
        <f t="shared" si="1"/>
        <v>5000000</v>
      </c>
      <c r="D48" s="525"/>
      <c r="E48" s="525"/>
      <c r="F48" s="514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6"/>
      <c r="S48" s="516"/>
      <c r="T48" s="517">
        <v>5000000</v>
      </c>
      <c r="U48" s="517">
        <v>5000000</v>
      </c>
      <c r="V48" s="517"/>
      <c r="W48" s="503"/>
    </row>
    <row r="49" spans="1:23" s="459" customFormat="1" ht="24">
      <c r="A49" s="427" t="s">
        <v>753</v>
      </c>
      <c r="B49" s="458">
        <f t="shared" si="0"/>
        <v>20000000</v>
      </c>
      <c r="C49" s="458">
        <f t="shared" si="1"/>
        <v>20000000</v>
      </c>
      <c r="D49" s="525"/>
      <c r="E49" s="525"/>
      <c r="F49" s="514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6"/>
      <c r="S49" s="516"/>
      <c r="T49" s="517">
        <v>20000000</v>
      </c>
      <c r="U49" s="517">
        <v>20000000</v>
      </c>
      <c r="V49" s="517"/>
      <c r="W49" s="503"/>
    </row>
    <row r="50" spans="1:23" s="459" customFormat="1" ht="12">
      <c r="A50" s="427" t="s">
        <v>754</v>
      </c>
      <c r="B50" s="458">
        <f t="shared" si="0"/>
        <v>2540000</v>
      </c>
      <c r="C50" s="458">
        <f t="shared" si="1"/>
        <v>2540000</v>
      </c>
      <c r="D50" s="525"/>
      <c r="E50" s="525"/>
      <c r="F50" s="514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6"/>
      <c r="S50" s="516"/>
      <c r="T50" s="517">
        <v>2540000</v>
      </c>
      <c r="U50" s="517">
        <v>2540000</v>
      </c>
      <c r="V50" s="517"/>
      <c r="W50" s="503"/>
    </row>
    <row r="51" spans="1:23" s="459" customFormat="1" ht="12">
      <c r="A51" s="427" t="s">
        <v>755</v>
      </c>
      <c r="B51" s="458">
        <f t="shared" si="0"/>
        <v>1905000</v>
      </c>
      <c r="C51" s="458">
        <f t="shared" si="1"/>
        <v>1905000</v>
      </c>
      <c r="D51" s="525"/>
      <c r="E51" s="525"/>
      <c r="F51" s="514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6"/>
      <c r="S51" s="516"/>
      <c r="T51" s="517">
        <v>1905000</v>
      </c>
      <c r="U51" s="517">
        <v>1905000</v>
      </c>
      <c r="V51" s="517"/>
      <c r="W51" s="503"/>
    </row>
    <row r="52" spans="1:23" s="459" customFormat="1" ht="12">
      <c r="A52" s="461" t="s">
        <v>830</v>
      </c>
      <c r="B52" s="458">
        <f t="shared" si="0"/>
        <v>1363973</v>
      </c>
      <c r="C52" s="458">
        <f t="shared" si="1"/>
        <v>1363973</v>
      </c>
      <c r="D52" s="525"/>
      <c r="E52" s="525"/>
      <c r="F52" s="506"/>
      <c r="G52" s="507"/>
      <c r="H52" s="507"/>
      <c r="I52" s="507"/>
      <c r="J52" s="505">
        <v>1363973</v>
      </c>
      <c r="K52" s="516">
        <v>1363973</v>
      </c>
      <c r="L52" s="507"/>
      <c r="M52" s="507"/>
      <c r="N52" s="507"/>
      <c r="O52" s="507"/>
      <c r="P52" s="507"/>
      <c r="Q52" s="507"/>
      <c r="R52" s="507"/>
      <c r="S52" s="507"/>
      <c r="T52" s="508"/>
      <c r="U52" s="508"/>
      <c r="V52" s="508"/>
      <c r="W52" s="460"/>
    </row>
    <row r="53" spans="1:23" s="459" customFormat="1" ht="12" hidden="1">
      <c r="A53" s="465"/>
      <c r="B53" s="458">
        <f t="shared" si="0"/>
        <v>0</v>
      </c>
      <c r="C53" s="458">
        <f t="shared" si="1"/>
        <v>0</v>
      </c>
      <c r="D53" s="525"/>
      <c r="E53" s="525"/>
      <c r="F53" s="514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6"/>
      <c r="T53" s="517"/>
      <c r="U53" s="517"/>
      <c r="V53" s="517"/>
      <c r="W53" s="503"/>
    </row>
    <row r="54" spans="1:23" s="459" customFormat="1" ht="12" hidden="1">
      <c r="A54" s="465"/>
      <c r="B54" s="458">
        <f t="shared" si="0"/>
        <v>0</v>
      </c>
      <c r="C54" s="458">
        <f t="shared" si="1"/>
        <v>0</v>
      </c>
      <c r="D54" s="525"/>
      <c r="E54" s="525"/>
      <c r="F54" s="514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7"/>
      <c r="U54" s="517"/>
      <c r="V54" s="517"/>
      <c r="W54" s="503"/>
    </row>
    <row r="55" spans="1:23" s="459" customFormat="1" ht="12">
      <c r="A55" s="465" t="s">
        <v>831</v>
      </c>
      <c r="B55" s="458">
        <f t="shared" si="0"/>
        <v>30000000</v>
      </c>
      <c r="C55" s="458">
        <f t="shared" si="1"/>
        <v>30000000</v>
      </c>
      <c r="D55" s="525"/>
      <c r="E55" s="525"/>
      <c r="F55" s="514"/>
      <c r="G55" s="515"/>
      <c r="H55" s="515"/>
      <c r="I55" s="515"/>
      <c r="J55" s="515"/>
      <c r="K55" s="515"/>
      <c r="L55" s="515">
        <v>30000000</v>
      </c>
      <c r="M55" s="515">
        <v>30000000</v>
      </c>
      <c r="N55" s="515"/>
      <c r="O55" s="515"/>
      <c r="P55" s="515"/>
      <c r="Q55" s="515"/>
      <c r="R55" s="515"/>
      <c r="S55" s="515"/>
      <c r="T55" s="517"/>
      <c r="U55" s="517"/>
      <c r="V55" s="517"/>
      <c r="W55" s="503"/>
    </row>
    <row r="56" spans="1:23" s="459" customFormat="1" ht="12">
      <c r="A56" s="465" t="s">
        <v>462</v>
      </c>
      <c r="B56" s="458">
        <f t="shared" si="0"/>
        <v>999490</v>
      </c>
      <c r="C56" s="458">
        <f t="shared" si="1"/>
        <v>999490</v>
      </c>
      <c r="D56" s="525"/>
      <c r="E56" s="525"/>
      <c r="F56" s="514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>
        <v>999490</v>
      </c>
      <c r="S56" s="515">
        <v>999490</v>
      </c>
      <c r="T56" s="517"/>
      <c r="U56" s="517"/>
      <c r="V56" s="517"/>
      <c r="W56" s="503"/>
    </row>
    <row r="57" spans="1:23" s="459" customFormat="1" ht="12" hidden="1">
      <c r="A57" s="465"/>
      <c r="B57" s="458">
        <f t="shared" si="0"/>
        <v>0</v>
      </c>
      <c r="C57" s="458">
        <f t="shared" si="1"/>
        <v>0</v>
      </c>
      <c r="D57" s="525"/>
      <c r="E57" s="525"/>
      <c r="F57" s="514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7"/>
      <c r="U57" s="517"/>
      <c r="V57" s="517"/>
      <c r="W57" s="503"/>
    </row>
    <row r="58" spans="1:23" s="459" customFormat="1" ht="24">
      <c r="A58" s="427" t="s">
        <v>763</v>
      </c>
      <c r="B58" s="458">
        <f t="shared" si="0"/>
        <v>2466435</v>
      </c>
      <c r="C58" s="458">
        <f t="shared" si="1"/>
        <v>2466435</v>
      </c>
      <c r="D58" s="525"/>
      <c r="E58" s="525"/>
      <c r="F58" s="514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7">
        <v>2466435</v>
      </c>
      <c r="U58" s="517">
        <v>2466435</v>
      </c>
      <c r="V58" s="517"/>
      <c r="W58" s="503"/>
    </row>
    <row r="59" spans="1:23" s="459" customFormat="1" ht="24">
      <c r="A59" s="427" t="s">
        <v>764</v>
      </c>
      <c r="B59" s="458">
        <f t="shared" si="0"/>
        <v>1000001</v>
      </c>
      <c r="C59" s="458">
        <f t="shared" si="1"/>
        <v>1000001</v>
      </c>
      <c r="D59" s="525"/>
      <c r="E59" s="525"/>
      <c r="F59" s="514"/>
      <c r="G59" s="515"/>
      <c r="H59" s="515"/>
      <c r="I59" s="515"/>
      <c r="J59" s="515"/>
      <c r="K59" s="515"/>
      <c r="L59" s="515"/>
      <c r="M59" s="515"/>
      <c r="N59" s="515"/>
      <c r="O59" s="515"/>
      <c r="P59" s="515"/>
      <c r="Q59" s="515"/>
      <c r="R59" s="515"/>
      <c r="S59" s="515"/>
      <c r="T59" s="517">
        <v>1000001</v>
      </c>
      <c r="U59" s="517">
        <v>1000001</v>
      </c>
      <c r="V59" s="517"/>
      <c r="W59" s="503"/>
    </row>
    <row r="60" spans="1:23" s="459" customFormat="1" ht="12">
      <c r="A60" s="465" t="s">
        <v>832</v>
      </c>
      <c r="B60" s="458">
        <f>F60+H60+J60+L60+P60+R60+T60+V60+N60</f>
        <v>160929563</v>
      </c>
      <c r="C60" s="458">
        <f t="shared" si="1"/>
        <v>178768096</v>
      </c>
      <c r="D60" s="525"/>
      <c r="E60" s="525"/>
      <c r="F60" s="514"/>
      <c r="G60" s="515"/>
      <c r="H60" s="515"/>
      <c r="I60" s="515"/>
      <c r="J60" s="515">
        <v>160929563</v>
      </c>
      <c r="K60" s="515">
        <v>178768096</v>
      </c>
      <c r="L60" s="515"/>
      <c r="M60" s="515"/>
      <c r="N60" s="515"/>
      <c r="O60" s="515"/>
      <c r="P60" s="515"/>
      <c r="Q60" s="515"/>
      <c r="R60" s="515"/>
      <c r="S60" s="515"/>
      <c r="T60" s="517"/>
      <c r="U60" s="517"/>
      <c r="V60" s="517"/>
      <c r="W60" s="503"/>
    </row>
    <row r="61" spans="1:23" s="459" customFormat="1" thickBot="1">
      <c r="A61" s="465" t="s">
        <v>19</v>
      </c>
      <c r="B61" s="980">
        <f>F61+H61+J61+L61+P61+R61+T61+V61+N61</f>
        <v>55216212</v>
      </c>
      <c r="C61" s="458">
        <f t="shared" si="1"/>
        <v>55216212</v>
      </c>
      <c r="D61" s="981"/>
      <c r="E61" s="981"/>
      <c r="F61" s="982"/>
      <c r="G61" s="983"/>
      <c r="H61" s="983"/>
      <c r="I61" s="983"/>
      <c r="J61" s="983"/>
      <c r="K61" s="983"/>
      <c r="L61" s="983"/>
      <c r="M61" s="980"/>
      <c r="N61" s="983"/>
      <c r="O61" s="980"/>
      <c r="P61" s="983">
        <v>55216212</v>
      </c>
      <c r="Q61" s="983">
        <v>55216212</v>
      </c>
      <c r="R61" s="983"/>
      <c r="S61" s="983"/>
      <c r="T61" s="984"/>
      <c r="U61" s="984"/>
      <c r="V61" s="984"/>
      <c r="W61" s="985"/>
    </row>
    <row r="62" spans="1:23" s="459" customFormat="1" thickBot="1">
      <c r="A62" s="462" t="s">
        <v>71</v>
      </c>
      <c r="B62" s="526">
        <f>SUM(B8:B61)</f>
        <v>3050000000</v>
      </c>
      <c r="C62" s="527">
        <f>SUM(C8:C61)</f>
        <v>3067838533</v>
      </c>
      <c r="D62" s="986">
        <f t="shared" ref="D62:W62" si="2">SUM(D8:D61)</f>
        <v>0</v>
      </c>
      <c r="E62" s="986">
        <f t="shared" si="2"/>
        <v>0</v>
      </c>
      <c r="F62" s="986">
        <f t="shared" si="2"/>
        <v>0</v>
      </c>
      <c r="G62" s="526">
        <f t="shared" si="2"/>
        <v>0</v>
      </c>
      <c r="H62" s="526">
        <f t="shared" si="2"/>
        <v>0</v>
      </c>
      <c r="I62" s="526">
        <f t="shared" si="2"/>
        <v>0</v>
      </c>
      <c r="J62" s="526">
        <f t="shared" si="2"/>
        <v>557319272</v>
      </c>
      <c r="K62" s="526">
        <f t="shared" si="2"/>
        <v>575157805</v>
      </c>
      <c r="L62" s="526">
        <f t="shared" si="2"/>
        <v>30000000</v>
      </c>
      <c r="M62" s="526">
        <f t="shared" si="2"/>
        <v>30000000</v>
      </c>
      <c r="N62" s="526">
        <f t="shared" si="2"/>
        <v>83725000</v>
      </c>
      <c r="O62" s="526">
        <f t="shared" si="2"/>
        <v>83725000</v>
      </c>
      <c r="P62" s="526">
        <f t="shared" si="2"/>
        <v>120316212</v>
      </c>
      <c r="Q62" s="526">
        <f t="shared" si="2"/>
        <v>120316212</v>
      </c>
      <c r="R62" s="526">
        <f t="shared" si="2"/>
        <v>388239493</v>
      </c>
      <c r="S62" s="526">
        <f t="shared" si="2"/>
        <v>388239493</v>
      </c>
      <c r="T62" s="526">
        <f t="shared" si="2"/>
        <v>1827023179</v>
      </c>
      <c r="U62" s="526">
        <f t="shared" si="2"/>
        <v>1827023179</v>
      </c>
      <c r="V62" s="526">
        <f t="shared" si="2"/>
        <v>43376844</v>
      </c>
      <c r="W62" s="527">
        <f t="shared" si="2"/>
        <v>43376844</v>
      </c>
    </row>
    <row r="63" spans="1:23" s="158" customFormat="1"/>
    <row r="64" spans="1:23" s="158" customFormat="1">
      <c r="B64" s="449">
        <v>3050000000</v>
      </c>
    </row>
    <row r="65" spans="2:18" s="454" customFormat="1">
      <c r="B65" s="457"/>
      <c r="R65" s="457"/>
    </row>
    <row r="66" spans="2:18" s="454" customFormat="1">
      <c r="B66" s="457">
        <f>B64-B62</f>
        <v>0</v>
      </c>
    </row>
    <row r="68" spans="2:18">
      <c r="C68" s="184"/>
    </row>
  </sheetData>
  <mergeCells count="16">
    <mergeCell ref="L6:M6"/>
    <mergeCell ref="R6:S6"/>
    <mergeCell ref="T6:U6"/>
    <mergeCell ref="N6:O6"/>
    <mergeCell ref="A5:E5"/>
    <mergeCell ref="D6:E6"/>
    <mergeCell ref="V6:W6"/>
    <mergeCell ref="F5:W5"/>
    <mergeCell ref="P6:Q6"/>
    <mergeCell ref="F6:G6"/>
    <mergeCell ref="A3:U3"/>
    <mergeCell ref="A6:A7"/>
    <mergeCell ref="B6:B7"/>
    <mergeCell ref="C6:C7"/>
    <mergeCell ref="H6:I6"/>
    <mergeCell ref="J6:K6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0B61-5683-428B-960C-8D44FD50468A}">
  <sheetPr>
    <pageSetUpPr fitToPage="1"/>
  </sheetPr>
  <dimension ref="A1:H54"/>
  <sheetViews>
    <sheetView workbookViewId="0">
      <selection sqref="A1:G53"/>
    </sheetView>
  </sheetViews>
  <sheetFormatPr defaultRowHeight="12.75"/>
  <cols>
    <col min="1" max="1" width="2.85546875" bestFit="1" customWidth="1"/>
    <col min="2" max="2" width="34" customWidth="1"/>
    <col min="3" max="3" width="2.28515625" customWidth="1"/>
    <col min="4" max="4" width="4" customWidth="1"/>
    <col min="5" max="6" width="15.28515625" customWidth="1"/>
    <col min="7" max="7" width="5.85546875" customWidth="1"/>
  </cols>
  <sheetData>
    <row r="1" spans="1:7" ht="15">
      <c r="A1" s="223" t="s">
        <v>380</v>
      </c>
      <c r="B1" s="294" t="s">
        <v>381</v>
      </c>
      <c r="C1" s="294"/>
      <c r="D1" s="294"/>
      <c r="E1" s="224">
        <f>mérl_!$C$34</f>
        <v>8252813312.1999998</v>
      </c>
      <c r="F1" s="294" t="s">
        <v>310</v>
      </c>
      <c r="G1" s="294"/>
    </row>
    <row r="2" spans="1:7" ht="15">
      <c r="A2" s="223" t="s">
        <v>382</v>
      </c>
      <c r="B2" s="294" t="s">
        <v>383</v>
      </c>
      <c r="C2" s="294"/>
      <c r="D2" s="294"/>
      <c r="E2" s="224">
        <f>mérl_!$F$34</f>
        <v>8252813312</v>
      </c>
      <c r="F2" s="294" t="s">
        <v>384</v>
      </c>
      <c r="G2" s="294"/>
    </row>
    <row r="3" spans="1:7" ht="24.75">
      <c r="A3" s="223" t="s">
        <v>385</v>
      </c>
      <c r="B3" s="290" t="s">
        <v>386</v>
      </c>
      <c r="C3" s="290"/>
      <c r="D3" s="290"/>
      <c r="E3" s="225">
        <f>mérl_!$C$22</f>
        <v>3798544403.1999998</v>
      </c>
      <c r="F3" s="294" t="s">
        <v>310</v>
      </c>
      <c r="G3" s="262"/>
    </row>
    <row r="4" spans="1:7" ht="15">
      <c r="A4" s="261"/>
      <c r="B4" s="289" t="s">
        <v>387</v>
      </c>
      <c r="C4" s="289"/>
      <c r="D4" s="289"/>
      <c r="E4" s="227"/>
      <c r="F4" s="292"/>
      <c r="G4" s="292"/>
    </row>
    <row r="5" spans="1:7" ht="15">
      <c r="A5" s="261"/>
      <c r="B5" s="289" t="s">
        <v>388</v>
      </c>
      <c r="C5" s="289"/>
      <c r="D5" s="289"/>
      <c r="E5" s="227">
        <f>m_mérl_!$C$20</f>
        <v>2181310665.1999998</v>
      </c>
      <c r="F5" s="289" t="s">
        <v>310</v>
      </c>
    </row>
    <row r="6" spans="1:7" ht="15">
      <c r="A6" s="261"/>
      <c r="B6" s="289" t="s">
        <v>389</v>
      </c>
      <c r="C6" s="289"/>
      <c r="D6" s="289"/>
      <c r="E6" s="227">
        <f>f_mérl_!$C$20</f>
        <v>1617233738</v>
      </c>
      <c r="F6" s="289" t="s">
        <v>310</v>
      </c>
    </row>
    <row r="7" spans="1:7" ht="15">
      <c r="A7" s="261"/>
      <c r="B7" s="289"/>
      <c r="C7" s="289"/>
      <c r="D7" s="289"/>
      <c r="E7" s="227"/>
      <c r="F7" s="292"/>
    </row>
    <row r="8" spans="1:7" ht="15">
      <c r="A8" s="261"/>
      <c r="B8" s="291" t="s">
        <v>390</v>
      </c>
      <c r="C8" s="291"/>
      <c r="D8" s="289"/>
      <c r="E8" s="293"/>
      <c r="F8" s="292"/>
    </row>
    <row r="9" spans="1:7" ht="15">
      <c r="A9" s="261"/>
      <c r="B9" s="289" t="s">
        <v>391</v>
      </c>
      <c r="C9" s="289"/>
      <c r="D9" s="289"/>
      <c r="E9" s="289"/>
      <c r="F9" s="227">
        <f>mérl_!$C$9</f>
        <v>1336477953.2</v>
      </c>
      <c r="G9" s="289" t="s">
        <v>310</v>
      </c>
    </row>
    <row r="10" spans="1:7" ht="15">
      <c r="A10" s="261"/>
      <c r="B10" s="289" t="s">
        <v>392</v>
      </c>
      <c r="C10" s="289"/>
      <c r="D10" s="289"/>
      <c r="E10" s="289"/>
      <c r="F10" s="227">
        <f>mérl_!$C$10</f>
        <v>1588396538</v>
      </c>
      <c r="G10" s="289" t="s">
        <v>310</v>
      </c>
    </row>
    <row r="11" spans="1:7" ht="15">
      <c r="A11" s="261"/>
      <c r="B11" s="289" t="s">
        <v>393</v>
      </c>
      <c r="C11" s="289"/>
      <c r="D11" s="289"/>
      <c r="E11" s="293"/>
      <c r="F11" s="227">
        <f>mérl_!$C$11</f>
        <v>400767020</v>
      </c>
      <c r="G11" s="289" t="s">
        <v>310</v>
      </c>
    </row>
    <row r="12" spans="1:7" ht="15">
      <c r="A12" s="261"/>
      <c r="B12" s="289" t="s">
        <v>394</v>
      </c>
      <c r="C12" s="289"/>
      <c r="D12" s="289"/>
      <c r="E12" s="293"/>
      <c r="F12" s="227">
        <f>mérl_!$C$12</f>
        <v>455525845</v>
      </c>
      <c r="G12" s="289" t="s">
        <v>310</v>
      </c>
    </row>
    <row r="13" spans="1:7" ht="15">
      <c r="A13" s="261"/>
      <c r="B13" s="289" t="s">
        <v>395</v>
      </c>
      <c r="C13" s="289"/>
      <c r="D13" s="289"/>
      <c r="E13" s="293"/>
      <c r="F13" s="227">
        <f>mérl_!$C$13*1000</f>
        <v>0</v>
      </c>
      <c r="G13" s="289" t="s">
        <v>310</v>
      </c>
    </row>
    <row r="14" spans="1:7" ht="15">
      <c r="A14" s="228"/>
      <c r="B14" s="289" t="s">
        <v>396</v>
      </c>
      <c r="C14" s="289"/>
      <c r="D14" s="229"/>
      <c r="E14" s="230"/>
      <c r="F14" s="227">
        <f>mérl_!$C$14</f>
        <v>15539847</v>
      </c>
      <c r="G14" s="289" t="s">
        <v>310</v>
      </c>
    </row>
    <row r="15" spans="1:7" ht="15">
      <c r="A15" s="261"/>
      <c r="B15" s="289" t="s">
        <v>397</v>
      </c>
      <c r="C15" s="289"/>
      <c r="D15" s="289"/>
      <c r="E15" s="293"/>
      <c r="F15" s="227">
        <f>mérl_!$C$15</f>
        <v>1837200</v>
      </c>
      <c r="G15" s="289" t="s">
        <v>310</v>
      </c>
    </row>
    <row r="16" spans="1:7" ht="15">
      <c r="A16" s="261"/>
      <c r="B16" s="291"/>
      <c r="C16" s="291"/>
      <c r="D16" s="291"/>
      <c r="E16" s="231"/>
      <c r="F16" s="292"/>
      <c r="G16" s="292"/>
    </row>
    <row r="17" spans="1:8" ht="24.75">
      <c r="A17" s="223" t="s">
        <v>398</v>
      </c>
      <c r="B17" s="290" t="s">
        <v>399</v>
      </c>
      <c r="C17" s="290"/>
      <c r="D17" s="290"/>
      <c r="E17" s="225">
        <f>mérl_!$C$33</f>
        <v>4454268909</v>
      </c>
      <c r="F17" s="294" t="s">
        <v>310</v>
      </c>
      <c r="G17" s="262"/>
    </row>
    <row r="18" spans="1:8" ht="15">
      <c r="A18" s="261"/>
      <c r="B18" s="289" t="s">
        <v>387</v>
      </c>
      <c r="C18" s="289"/>
      <c r="D18" s="289"/>
      <c r="E18" s="227"/>
      <c r="F18" s="292"/>
      <c r="G18" s="292"/>
    </row>
    <row r="19" spans="1:8" ht="15">
      <c r="A19" s="261"/>
      <c r="B19" s="289" t="s">
        <v>400</v>
      </c>
      <c r="C19" s="289"/>
      <c r="D19" s="289"/>
      <c r="E19" s="227">
        <f>mérl_!$C$30</f>
        <v>4454268909</v>
      </c>
      <c r="F19" s="289" t="s">
        <v>310</v>
      </c>
      <c r="G19" s="289"/>
    </row>
    <row r="20" spans="1:8" ht="15">
      <c r="A20" s="261"/>
      <c r="B20" s="289" t="s">
        <v>401</v>
      </c>
      <c r="C20" s="289"/>
      <c r="D20" s="289"/>
      <c r="E20" s="227">
        <f>mérl_!$C$31*1000</f>
        <v>0</v>
      </c>
      <c r="F20" s="289" t="s">
        <v>310</v>
      </c>
      <c r="G20" s="289"/>
    </row>
    <row r="21" spans="1:8" ht="15">
      <c r="A21" s="261"/>
      <c r="B21" s="289" t="s">
        <v>402</v>
      </c>
      <c r="C21" s="289"/>
      <c r="D21" s="289"/>
      <c r="E21" s="227">
        <f>mérl_!$C$32*1000</f>
        <v>0</v>
      </c>
      <c r="F21" s="289" t="s">
        <v>310</v>
      </c>
      <c r="G21" s="289"/>
    </row>
    <row r="22" spans="1:8" ht="15">
      <c r="A22" s="228"/>
      <c r="B22" s="229"/>
      <c r="C22" s="289"/>
      <c r="D22" s="289"/>
      <c r="E22" s="230"/>
      <c r="F22" s="289"/>
      <c r="G22" s="289"/>
    </row>
    <row r="23" spans="1:8" ht="15">
      <c r="A23" s="261"/>
      <c r="B23" s="291" t="s">
        <v>403</v>
      </c>
      <c r="C23" s="291"/>
      <c r="D23" s="291"/>
      <c r="E23" s="293"/>
      <c r="F23" s="292"/>
      <c r="G23" s="292"/>
    </row>
    <row r="24" spans="1:8" ht="15">
      <c r="A24" s="228"/>
      <c r="B24" s="289" t="s">
        <v>404</v>
      </c>
      <c r="C24" s="291"/>
      <c r="D24" s="291"/>
      <c r="E24" s="287">
        <v>0</v>
      </c>
      <c r="F24" s="289" t="s">
        <v>310</v>
      </c>
      <c r="G24" s="289"/>
      <c r="H24" s="260"/>
    </row>
    <row r="25" spans="1:8" ht="15">
      <c r="A25" s="228"/>
      <c r="B25" s="289" t="s">
        <v>405</v>
      </c>
      <c r="C25" s="291"/>
      <c r="D25" s="291"/>
      <c r="E25" s="287">
        <f>mérl_!C29*1000</f>
        <v>0</v>
      </c>
      <c r="F25" s="289" t="s">
        <v>310</v>
      </c>
      <c r="G25" s="289"/>
      <c r="H25" s="260"/>
    </row>
    <row r="26" spans="1:8" ht="15">
      <c r="A26" s="261"/>
      <c r="B26" s="289" t="s">
        <v>406</v>
      </c>
      <c r="C26" s="289"/>
      <c r="D26" s="289"/>
      <c r="E26" s="287">
        <f>mérl_!C25</f>
        <v>3067838533</v>
      </c>
      <c r="F26" s="289" t="s">
        <v>310</v>
      </c>
      <c r="G26" s="289"/>
      <c r="H26" s="260"/>
    </row>
    <row r="27" spans="1:8" ht="15">
      <c r="A27" s="261"/>
      <c r="B27" s="289" t="s">
        <v>407</v>
      </c>
      <c r="C27" s="289"/>
      <c r="D27" s="289"/>
      <c r="E27" s="287">
        <f>mérl_!C28</f>
        <v>1386359074</v>
      </c>
      <c r="F27" s="289" t="s">
        <v>310</v>
      </c>
      <c r="G27" s="289"/>
      <c r="H27" s="260"/>
    </row>
    <row r="28" spans="1:8" ht="15">
      <c r="A28" s="228"/>
      <c r="B28" s="289"/>
      <c r="C28" s="289"/>
      <c r="D28" s="289"/>
      <c r="E28" s="293"/>
      <c r="F28" s="293"/>
      <c r="G28" s="293"/>
    </row>
    <row r="29" spans="1:8" ht="24.75">
      <c r="A29" s="223" t="s">
        <v>408</v>
      </c>
      <c r="B29" s="290" t="s">
        <v>409</v>
      </c>
      <c r="C29" s="290"/>
      <c r="D29" s="290"/>
      <c r="E29" s="225">
        <f>mérl_!$F$22</f>
        <v>6823077394</v>
      </c>
      <c r="F29" s="294" t="s">
        <v>310</v>
      </c>
      <c r="G29" s="262"/>
    </row>
    <row r="30" spans="1:8" ht="15">
      <c r="A30" s="261"/>
      <c r="B30" s="289" t="s">
        <v>387</v>
      </c>
      <c r="C30" s="289"/>
      <c r="D30" s="289"/>
      <c r="E30" s="227"/>
      <c r="F30" s="292"/>
      <c r="G30" s="292"/>
    </row>
    <row r="31" spans="1:8" ht="15">
      <c r="A31" s="261"/>
      <c r="B31" s="289" t="s">
        <v>410</v>
      </c>
      <c r="C31" s="289"/>
      <c r="D31" s="289"/>
      <c r="E31" s="227">
        <f>m_mérl_!$F$20</f>
        <v>2866359030</v>
      </c>
      <c r="F31" s="289" t="s">
        <v>310</v>
      </c>
      <c r="G31" s="292"/>
    </row>
    <row r="32" spans="1:8" ht="15">
      <c r="A32" s="228"/>
      <c r="B32" s="289" t="s">
        <v>411</v>
      </c>
      <c r="C32" s="289"/>
      <c r="D32" s="289"/>
      <c r="E32" s="227"/>
      <c r="F32" s="289"/>
      <c r="G32" s="292"/>
    </row>
    <row r="33" spans="1:7" ht="15">
      <c r="A33" s="261"/>
      <c r="B33" s="289" t="s">
        <v>412</v>
      </c>
      <c r="C33" s="289"/>
      <c r="D33" s="289"/>
      <c r="E33" s="227"/>
      <c r="F33" s="227">
        <f>mérl_!$F$9</f>
        <v>1088813277</v>
      </c>
      <c r="G33" s="289" t="s">
        <v>310</v>
      </c>
    </row>
    <row r="34" spans="1:7" ht="15">
      <c r="A34" s="261"/>
      <c r="B34" s="289" t="s">
        <v>413</v>
      </c>
      <c r="C34" s="289"/>
      <c r="D34" s="291"/>
      <c r="E34" s="232"/>
      <c r="F34" s="227">
        <f>mérl_!$F$10</f>
        <v>157653899</v>
      </c>
      <c r="G34" s="289" t="s">
        <v>310</v>
      </c>
    </row>
    <row r="35" spans="1:7" ht="15">
      <c r="A35" s="228"/>
      <c r="B35" s="289" t="s">
        <v>414</v>
      </c>
      <c r="C35" s="289"/>
      <c r="D35" s="289"/>
      <c r="E35" s="227"/>
      <c r="F35" s="227">
        <f>(mérl_!$F$11+mérl_!$F$12+mérl_!$F$13+mérl_!$F$14+mérl_!$F$15)</f>
        <v>1232383392</v>
      </c>
      <c r="G35" s="289" t="s">
        <v>310</v>
      </c>
    </row>
    <row r="36" spans="1:7" ht="15">
      <c r="A36" s="228"/>
      <c r="B36" s="289" t="s">
        <v>415</v>
      </c>
      <c r="C36" s="289"/>
      <c r="D36" s="289"/>
      <c r="E36" s="227"/>
      <c r="F36" s="227">
        <f>mérl_!$F$16</f>
        <v>8234700</v>
      </c>
      <c r="G36" s="289" t="s">
        <v>310</v>
      </c>
    </row>
    <row r="37" spans="1:7" ht="15">
      <c r="A37" s="228"/>
      <c r="B37" s="289" t="s">
        <v>416</v>
      </c>
      <c r="C37" s="289"/>
      <c r="D37" s="289"/>
      <c r="E37" s="227"/>
      <c r="F37" s="227">
        <f>mérl_!$F$17</f>
        <v>444373762</v>
      </c>
      <c r="G37" s="289" t="s">
        <v>310</v>
      </c>
    </row>
    <row r="38" spans="1:7" ht="15">
      <c r="A38" s="228"/>
      <c r="B38" s="227" t="s">
        <v>558</v>
      </c>
      <c r="C38" s="289"/>
      <c r="D38" s="289"/>
      <c r="E38" s="227"/>
      <c r="F38" s="227">
        <f>m_mérl_!F18</f>
        <v>31449922</v>
      </c>
      <c r="G38" s="289" t="s">
        <v>310</v>
      </c>
    </row>
    <row r="39" spans="1:7" ht="15">
      <c r="A39" s="228"/>
      <c r="B39" s="289" t="s">
        <v>417</v>
      </c>
      <c r="C39" s="289"/>
      <c r="D39" s="289"/>
      <c r="E39" s="227">
        <f>f_mérl_!$F$20</f>
        <v>3956718364</v>
      </c>
      <c r="F39" s="289" t="s">
        <v>310</v>
      </c>
      <c r="G39" s="292"/>
    </row>
    <row r="40" spans="1:7" ht="15">
      <c r="A40" s="228"/>
      <c r="B40" s="289" t="s">
        <v>411</v>
      </c>
      <c r="C40" s="289"/>
      <c r="D40" s="289"/>
      <c r="E40" s="293"/>
      <c r="F40" s="292"/>
      <c r="G40" s="292"/>
    </row>
    <row r="41" spans="1:7" ht="15">
      <c r="A41" s="228"/>
      <c r="B41" s="289" t="s">
        <v>418</v>
      </c>
      <c r="C41" s="289"/>
      <c r="D41" s="289"/>
      <c r="E41" s="293"/>
      <c r="F41" s="227">
        <f>f_mérl_!$F$9</f>
        <v>431896471</v>
      </c>
      <c r="G41" s="289" t="s">
        <v>310</v>
      </c>
    </row>
    <row r="42" spans="1:7" ht="15">
      <c r="A42" s="228"/>
      <c r="B42" s="289" t="s">
        <v>419</v>
      </c>
      <c r="C42" s="291"/>
      <c r="D42" s="291"/>
      <c r="E42" s="231"/>
      <c r="F42" s="227">
        <f>f_mérl_!$F$10</f>
        <v>3358876760</v>
      </c>
      <c r="G42" s="289" t="s">
        <v>310</v>
      </c>
    </row>
    <row r="43" spans="1:7" ht="15">
      <c r="A43" s="261"/>
      <c r="B43" s="289" t="s">
        <v>420</v>
      </c>
      <c r="C43" s="289"/>
      <c r="D43" s="289"/>
      <c r="E43" s="293"/>
      <c r="F43" s="227">
        <f>f_mérl_!$F$11</f>
        <v>100845133</v>
      </c>
      <c r="G43" s="289" t="s">
        <v>310</v>
      </c>
    </row>
    <row r="44" spans="1:7" ht="15">
      <c r="A44" s="261"/>
      <c r="B44" s="293" t="s">
        <v>559</v>
      </c>
      <c r="C44" s="289"/>
      <c r="D44" s="289"/>
      <c r="E44" s="293"/>
      <c r="F44" s="227">
        <f>f_mérl_!F12</f>
        <v>65100000</v>
      </c>
      <c r="G44" s="289" t="s">
        <v>310</v>
      </c>
    </row>
    <row r="45" spans="1:7" ht="15">
      <c r="A45" s="261"/>
      <c r="B45" s="289"/>
      <c r="C45" s="289"/>
      <c r="D45" s="289"/>
      <c r="E45" s="293"/>
      <c r="F45" s="292"/>
      <c r="G45" s="292"/>
    </row>
    <row r="46" spans="1:7" ht="24.75">
      <c r="A46" s="223" t="s">
        <v>421</v>
      </c>
      <c r="B46" s="290" t="s">
        <v>422</v>
      </c>
      <c r="C46" s="290"/>
      <c r="D46" s="290"/>
      <c r="E46" s="225">
        <f>mérl_!$F$33</f>
        <v>1429735918</v>
      </c>
      <c r="F46" s="294" t="s">
        <v>310</v>
      </c>
      <c r="G46" s="262"/>
    </row>
    <row r="47" spans="1:7" ht="15">
      <c r="A47" s="261"/>
      <c r="B47" s="289" t="s">
        <v>387</v>
      </c>
      <c r="C47" s="289"/>
      <c r="D47" s="289"/>
      <c r="E47" s="227"/>
      <c r="F47" s="292"/>
      <c r="G47" s="289"/>
    </row>
    <row r="48" spans="1:7" ht="15">
      <c r="A48" s="261"/>
      <c r="B48" s="289" t="s">
        <v>423</v>
      </c>
      <c r="C48" s="289"/>
      <c r="D48" s="289"/>
      <c r="E48" s="227">
        <f>mérl_!$F$30</f>
        <v>1429735918</v>
      </c>
      <c r="F48" s="289" t="s">
        <v>310</v>
      </c>
      <c r="G48" s="292"/>
    </row>
    <row r="49" spans="1:7" ht="15">
      <c r="A49" s="261"/>
      <c r="B49" s="289" t="s">
        <v>424</v>
      </c>
      <c r="C49" s="289"/>
      <c r="D49" s="289"/>
      <c r="E49" s="293"/>
      <c r="F49" s="227">
        <f>mérl_!$F$27</f>
        <v>1386359074</v>
      </c>
      <c r="G49" s="289" t="s">
        <v>310</v>
      </c>
    </row>
    <row r="50" spans="1:7" ht="15">
      <c r="A50" s="261"/>
      <c r="B50" s="233" t="s">
        <v>425</v>
      </c>
      <c r="C50" s="289"/>
      <c r="D50" s="289"/>
      <c r="E50" s="293"/>
      <c r="F50" s="227">
        <f>mérl_!$F$26</f>
        <v>43376844</v>
      </c>
      <c r="G50" s="289" t="s">
        <v>310</v>
      </c>
    </row>
    <row r="51" spans="1:7" ht="15">
      <c r="A51" s="261"/>
      <c r="B51" s="233" t="s">
        <v>426</v>
      </c>
      <c r="C51" s="289"/>
      <c r="D51" s="289"/>
      <c r="E51" s="293"/>
      <c r="F51" s="227">
        <v>0</v>
      </c>
      <c r="G51" s="289" t="s">
        <v>310</v>
      </c>
    </row>
    <row r="52" spans="1:7" ht="15">
      <c r="A52" s="261"/>
      <c r="B52" s="289" t="s">
        <v>427</v>
      </c>
      <c r="C52" s="289"/>
      <c r="D52" s="289"/>
      <c r="E52" s="234">
        <f>mérl_!$F$31*1000</f>
        <v>0</v>
      </c>
      <c r="F52" s="289" t="s">
        <v>310</v>
      </c>
      <c r="G52" s="289"/>
    </row>
    <row r="53" spans="1:7" ht="15">
      <c r="A53" s="261"/>
      <c r="B53" s="289" t="s">
        <v>428</v>
      </c>
      <c r="C53" s="289"/>
      <c r="D53" s="289"/>
      <c r="E53" s="234">
        <f>mérl_!$F$32*1000</f>
        <v>0</v>
      </c>
      <c r="F53" s="289" t="s">
        <v>310</v>
      </c>
      <c r="G53" s="289"/>
    </row>
    <row r="54" spans="1:7" ht="15">
      <c r="A54" s="228"/>
      <c r="B54" s="235"/>
      <c r="C54" s="226"/>
      <c r="D54" s="226"/>
      <c r="E54" s="236"/>
      <c r="F54" s="226"/>
      <c r="G54" s="261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2805-AD91-499E-98F2-D268D8801031}">
  <dimension ref="A1:H26"/>
  <sheetViews>
    <sheetView workbookViewId="0">
      <selection activeCell="G23" sqref="G23"/>
    </sheetView>
  </sheetViews>
  <sheetFormatPr defaultRowHeight="12.75"/>
  <cols>
    <col min="1" max="1" width="9.140625" style="2"/>
    <col min="2" max="2" width="42.5703125" style="2" customWidth="1"/>
    <col min="3" max="4" width="11.28515625" style="2" customWidth="1"/>
    <col min="5" max="5" width="12.140625" style="2" bestFit="1" customWidth="1"/>
    <col min="6" max="6" width="12.140625" style="2" customWidth="1"/>
    <col min="7" max="8" width="12.42578125" style="2" customWidth="1"/>
    <col min="9" max="16384" width="9.140625" style="2"/>
  </cols>
  <sheetData>
    <row r="1" spans="1:8">
      <c r="A1" s="1" t="s">
        <v>95</v>
      </c>
      <c r="B1" s="2" t="str">
        <f>'bev-int'!B1</f>
        <v>melléklet a …/2024. (.  .) önkormányzati rendelethez</v>
      </c>
    </row>
    <row r="2" spans="1:8">
      <c r="A2" s="1"/>
    </row>
    <row r="3" spans="1:8">
      <c r="A3" s="1"/>
    </row>
    <row r="4" spans="1:8">
      <c r="B4" s="1093" t="s">
        <v>774</v>
      </c>
      <c r="C4" s="1093"/>
      <c r="D4" s="1093"/>
      <c r="E4" s="1093"/>
      <c r="F4" s="1093"/>
      <c r="G4" s="1093"/>
      <c r="H4" s="1093"/>
    </row>
    <row r="5" spans="1:8">
      <c r="B5" s="1094" t="s">
        <v>68</v>
      </c>
      <c r="C5" s="1094"/>
      <c r="D5" s="1094"/>
      <c r="E5" s="1094"/>
      <c r="F5" s="1094"/>
      <c r="G5" s="1094"/>
      <c r="H5" s="1094"/>
    </row>
    <row r="6" spans="1:8" ht="12" customHeight="1">
      <c r="B6" s="89"/>
      <c r="C6" s="89"/>
      <c r="D6" s="90"/>
      <c r="E6" s="90"/>
      <c r="F6" s="90"/>
      <c r="G6" s="90"/>
      <c r="H6" s="90"/>
    </row>
    <row r="7" spans="1:8" ht="14.25" customHeight="1">
      <c r="B7" s="89"/>
      <c r="C7" s="89"/>
      <c r="D7" s="90"/>
      <c r="E7" s="90"/>
      <c r="F7" s="90"/>
      <c r="G7" s="90"/>
      <c r="H7" s="90"/>
    </row>
    <row r="8" spans="1:8" ht="14.25" customHeight="1" thickBot="1">
      <c r="D8" s="90"/>
      <c r="E8" s="90"/>
      <c r="F8" s="90"/>
      <c r="G8" s="560"/>
      <c r="H8" s="560" t="s">
        <v>310</v>
      </c>
    </row>
    <row r="9" spans="1:8" ht="30.75" customHeight="1">
      <c r="B9" s="1095" t="s">
        <v>69</v>
      </c>
      <c r="C9" s="1095" t="s">
        <v>248</v>
      </c>
      <c r="D9" s="1098"/>
      <c r="E9" s="1100" t="s">
        <v>374</v>
      </c>
      <c r="F9" s="1101"/>
      <c r="G9" s="1104" t="s">
        <v>375</v>
      </c>
      <c r="H9" s="1105"/>
    </row>
    <row r="10" spans="1:8" ht="13.5" thickBot="1">
      <c r="B10" s="1096"/>
      <c r="C10" s="1097"/>
      <c r="D10" s="1099"/>
      <c r="E10" s="1102"/>
      <c r="F10" s="1103"/>
      <c r="G10" s="1106"/>
      <c r="H10" s="1107"/>
    </row>
    <row r="11" spans="1:8" ht="13.5" thickBot="1">
      <c r="B11" s="1097"/>
      <c r="C11" s="559" t="s">
        <v>438</v>
      </c>
      <c r="D11" s="556" t="s">
        <v>439</v>
      </c>
      <c r="E11" s="1004" t="s">
        <v>438</v>
      </c>
      <c r="F11" s="1007" t="s">
        <v>439</v>
      </c>
      <c r="G11" s="705" t="s">
        <v>438</v>
      </c>
      <c r="H11" s="556" t="s">
        <v>439</v>
      </c>
    </row>
    <row r="12" spans="1:8" s="75" customFormat="1">
      <c r="B12" s="468" t="s">
        <v>261</v>
      </c>
      <c r="C12" s="1053"/>
      <c r="D12" s="1054"/>
      <c r="E12" s="1005">
        <v>270000</v>
      </c>
      <c r="F12" s="1008">
        <v>270000</v>
      </c>
      <c r="G12" s="703">
        <f>C12+E12</f>
        <v>270000</v>
      </c>
      <c r="H12" s="1054">
        <f>D12+F12</f>
        <v>270000</v>
      </c>
    </row>
    <row r="13" spans="1:8">
      <c r="B13" s="467" t="s">
        <v>231</v>
      </c>
      <c r="C13" s="1055">
        <v>0</v>
      </c>
      <c r="D13" s="1056">
        <v>0</v>
      </c>
      <c r="E13" s="1057">
        <f>E12</f>
        <v>270000</v>
      </c>
      <c r="F13" s="1057">
        <f>F12</f>
        <v>270000</v>
      </c>
      <c r="G13" s="1058">
        <f>G12</f>
        <v>270000</v>
      </c>
      <c r="H13" s="1058">
        <f>H12</f>
        <v>270000</v>
      </c>
    </row>
    <row r="14" spans="1:8">
      <c r="B14" s="469" t="s">
        <v>163</v>
      </c>
      <c r="C14" s="703">
        <v>1500000</v>
      </c>
      <c r="D14" s="1020">
        <v>1500000</v>
      </c>
      <c r="E14" s="1006"/>
      <c r="F14" s="1059"/>
      <c r="G14" s="703">
        <f t="shared" ref="G14:G19" si="0">C14+E14</f>
        <v>1500000</v>
      </c>
      <c r="H14" s="1054">
        <f t="shared" ref="H14:H19" si="1">D14+F14</f>
        <v>1500000</v>
      </c>
    </row>
    <row r="15" spans="1:8">
      <c r="B15" s="469" t="s">
        <v>260</v>
      </c>
      <c r="C15" s="704">
        <v>500000</v>
      </c>
      <c r="D15" s="1021">
        <v>500000</v>
      </c>
      <c r="E15" s="1006"/>
      <c r="F15" s="1059"/>
      <c r="G15" s="703">
        <f t="shared" si="0"/>
        <v>500000</v>
      </c>
      <c r="H15" s="1054">
        <f t="shared" si="1"/>
        <v>500000</v>
      </c>
    </row>
    <row r="16" spans="1:8">
      <c r="B16" s="469" t="s">
        <v>457</v>
      </c>
      <c r="C16" s="704">
        <v>1394100</v>
      </c>
      <c r="D16" s="1021">
        <v>1394100</v>
      </c>
      <c r="E16" s="1006"/>
      <c r="F16" s="1059"/>
      <c r="G16" s="703">
        <f t="shared" si="0"/>
        <v>1394100</v>
      </c>
      <c r="H16" s="1054">
        <f t="shared" si="1"/>
        <v>1394100</v>
      </c>
    </row>
    <row r="17" spans="2:8">
      <c r="B17" s="469" t="s">
        <v>331</v>
      </c>
      <c r="C17" s="704">
        <v>3470600</v>
      </c>
      <c r="D17" s="1021">
        <v>3470600</v>
      </c>
      <c r="E17" s="1006"/>
      <c r="F17" s="1059"/>
      <c r="G17" s="703">
        <f>C17+E17</f>
        <v>3470600</v>
      </c>
      <c r="H17" s="1054">
        <f t="shared" si="1"/>
        <v>3470600</v>
      </c>
    </row>
    <row r="18" spans="2:8">
      <c r="B18" s="469" t="s">
        <v>332</v>
      </c>
      <c r="C18" s="703">
        <v>300000</v>
      </c>
      <c r="D18" s="1020">
        <v>300000</v>
      </c>
      <c r="E18" s="1006"/>
      <c r="F18" s="1059"/>
      <c r="G18" s="703">
        <f t="shared" si="0"/>
        <v>300000</v>
      </c>
      <c r="H18" s="1054">
        <f t="shared" si="1"/>
        <v>300000</v>
      </c>
    </row>
    <row r="19" spans="2:8">
      <c r="B19" s="469" t="s">
        <v>333</v>
      </c>
      <c r="C19" s="704">
        <v>800000</v>
      </c>
      <c r="D19" s="1021">
        <v>800000</v>
      </c>
      <c r="E19" s="1006"/>
      <c r="F19" s="1059"/>
      <c r="G19" s="703">
        <f t="shared" si="0"/>
        <v>800000</v>
      </c>
      <c r="H19" s="1054">
        <f t="shared" si="1"/>
        <v>800000</v>
      </c>
    </row>
    <row r="20" spans="2:8" ht="13.5" thickBot="1">
      <c r="B20" s="470" t="s">
        <v>232</v>
      </c>
      <c r="C20" s="1060">
        <f t="shared" ref="C20:H20" si="2">SUM(C14:C19)</f>
        <v>7964700</v>
      </c>
      <c r="D20" s="1061">
        <f t="shared" si="2"/>
        <v>7964700</v>
      </c>
      <c r="E20" s="1062">
        <f t="shared" si="2"/>
        <v>0</v>
      </c>
      <c r="F20" s="1063">
        <f t="shared" si="2"/>
        <v>0</v>
      </c>
      <c r="G20" s="1064">
        <f t="shared" si="2"/>
        <v>7964700</v>
      </c>
      <c r="H20" s="1061">
        <f t="shared" si="2"/>
        <v>7964700</v>
      </c>
    </row>
    <row r="21" spans="2:8" ht="13.5" thickBot="1">
      <c r="B21" s="474" t="s">
        <v>70</v>
      </c>
      <c r="C21" s="1065">
        <f t="shared" ref="C21:H21" si="3">C13+C20</f>
        <v>7964700</v>
      </c>
      <c r="D21" s="1065">
        <f t="shared" si="3"/>
        <v>7964700</v>
      </c>
      <c r="E21" s="1065">
        <f t="shared" si="3"/>
        <v>270000</v>
      </c>
      <c r="F21" s="1065">
        <f t="shared" si="3"/>
        <v>270000</v>
      </c>
      <c r="G21" s="1065">
        <f t="shared" si="3"/>
        <v>8234700</v>
      </c>
      <c r="H21" s="1065">
        <f t="shared" si="3"/>
        <v>8234700</v>
      </c>
    </row>
    <row r="22" spans="2:8" s="75" customFormat="1">
      <c r="B22" s="475" t="s">
        <v>493</v>
      </c>
      <c r="C22" s="1066"/>
      <c r="D22" s="1066"/>
      <c r="E22" s="1067">
        <v>3000000</v>
      </c>
      <c r="F22" s="1068"/>
      <c r="G22" s="703">
        <f t="shared" ref="G22:H24" si="4">C22+E22</f>
        <v>3000000</v>
      </c>
      <c r="H22" s="1054">
        <f t="shared" si="4"/>
        <v>0</v>
      </c>
    </row>
    <row r="23" spans="2:8">
      <c r="B23" s="472" t="s">
        <v>687</v>
      </c>
      <c r="C23" s="1069"/>
      <c r="D23" s="1069"/>
      <c r="E23" s="1070">
        <v>2100000</v>
      </c>
      <c r="F23" s="1071"/>
      <c r="G23" s="703">
        <f t="shared" si="4"/>
        <v>2100000</v>
      </c>
      <c r="H23" s="1054">
        <f t="shared" si="4"/>
        <v>0</v>
      </c>
    </row>
    <row r="24" spans="2:8" ht="13.5" thickBot="1">
      <c r="B24" s="473" t="s">
        <v>492</v>
      </c>
      <c r="C24" s="1072"/>
      <c r="D24" s="1072"/>
      <c r="E24" s="1073">
        <v>8000000</v>
      </c>
      <c r="F24" s="1074"/>
      <c r="G24" s="703">
        <f t="shared" si="4"/>
        <v>8000000</v>
      </c>
      <c r="H24" s="1054">
        <f t="shared" si="4"/>
        <v>0</v>
      </c>
    </row>
    <row r="25" spans="2:8" ht="13.5" thickBot="1">
      <c r="B25" s="471" t="s">
        <v>491</v>
      </c>
      <c r="C25" s="1075">
        <f t="shared" ref="C25:H25" si="5">SUM(C22:C24)</f>
        <v>0</v>
      </c>
      <c r="D25" s="1076">
        <f t="shared" si="5"/>
        <v>0</v>
      </c>
      <c r="E25" s="1077">
        <f t="shared" si="5"/>
        <v>13100000</v>
      </c>
      <c r="F25" s="1078">
        <f t="shared" si="5"/>
        <v>0</v>
      </c>
      <c r="G25" s="1075">
        <f t="shared" si="5"/>
        <v>13100000</v>
      </c>
      <c r="H25" s="1079">
        <f t="shared" si="5"/>
        <v>0</v>
      </c>
    </row>
    <row r="26" spans="2:8" ht="13.5" thickBot="1">
      <c r="B26" s="1003" t="s">
        <v>688</v>
      </c>
      <c r="C26" s="1080"/>
      <c r="D26" s="1081"/>
      <c r="E26" s="1082">
        <v>1750000</v>
      </c>
      <c r="F26" s="1083"/>
      <c r="G26" s="1080">
        <f>C26+E26</f>
        <v>1750000</v>
      </c>
      <c r="H26" s="1081">
        <f>D26+F26</f>
        <v>0</v>
      </c>
    </row>
  </sheetData>
  <mergeCells count="6">
    <mergeCell ref="B4:H4"/>
    <mergeCell ref="B5:H5"/>
    <mergeCell ref="B9:B11"/>
    <mergeCell ref="C9:D10"/>
    <mergeCell ref="E9:F10"/>
    <mergeCell ref="G9:H10"/>
  </mergeCells>
  <phoneticPr fontId="1" type="noConversion"/>
  <printOptions horizontalCentered="1"/>
  <pageMargins left="0.17" right="0.9055118110236221" top="0.73" bottom="0.51181102362204722" header="0.51181102362204722" footer="0.5118110236220472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A2AD-A051-4D43-9A4C-FB186DEA06E6}">
  <sheetPr>
    <pageSetUpPr fitToPage="1"/>
  </sheetPr>
  <dimension ref="A1:S76"/>
  <sheetViews>
    <sheetView workbookViewId="0">
      <selection activeCell="L58" sqref="L58"/>
    </sheetView>
  </sheetViews>
  <sheetFormatPr defaultRowHeight="12"/>
  <cols>
    <col min="1" max="1" width="3.5703125" style="5" bestFit="1" customWidth="1"/>
    <col min="2" max="2" width="64.7109375" style="5" customWidth="1"/>
    <col min="3" max="4" width="10.85546875" style="5" customWidth="1"/>
    <col min="5" max="5" width="12.7109375" style="5" customWidth="1"/>
    <col min="6" max="6" width="12.140625" style="5" customWidth="1"/>
    <col min="7" max="7" width="8.85546875" style="5" customWidth="1"/>
    <col min="8" max="8" width="10.85546875" style="5" customWidth="1"/>
    <col min="9" max="9" width="9.28515625" style="5" customWidth="1"/>
    <col min="10" max="11" width="8.7109375" style="5" customWidth="1"/>
    <col min="12" max="12" width="11" style="5" customWidth="1"/>
    <col min="13" max="13" width="10.28515625" style="5" customWidth="1"/>
    <col min="14" max="14" width="10.85546875" style="5" customWidth="1"/>
    <col min="15" max="15" width="8.7109375" style="5" bestFit="1" customWidth="1"/>
    <col min="16" max="16" width="9.7109375" style="5" customWidth="1"/>
    <col min="17" max="18" width="9.140625" style="5"/>
    <col min="19" max="19" width="9.5703125" style="5" bestFit="1" customWidth="1"/>
    <col min="20" max="16384" width="9.140625" style="5"/>
  </cols>
  <sheetData>
    <row r="1" spans="1:16">
      <c r="A1" s="4" t="s">
        <v>263</v>
      </c>
      <c r="B1" s="106" t="str">
        <f>'bev-int'!B1</f>
        <v>melléklet a …/2024. (.  .) önkormányzati rendelethez</v>
      </c>
    </row>
    <row r="3" spans="1:16">
      <c r="B3" s="6"/>
    </row>
    <row r="4" spans="1:16" s="91" customFormat="1" ht="17.25" customHeight="1">
      <c r="B4" s="1089" t="s">
        <v>793</v>
      </c>
      <c r="C4" s="1089"/>
      <c r="D4" s="1089"/>
      <c r="E4" s="1089"/>
      <c r="F4" s="1089"/>
      <c r="G4" s="1089"/>
      <c r="H4" s="1089"/>
      <c r="I4" s="1089"/>
      <c r="J4" s="1089"/>
      <c r="K4" s="1089"/>
      <c r="L4" s="1089"/>
      <c r="M4" s="1089"/>
      <c r="N4" s="1089"/>
      <c r="O4" s="1089"/>
    </row>
    <row r="5" spans="1:16" ht="17.25" customHeight="1">
      <c r="B5" s="6"/>
    </row>
    <row r="6" spans="1:16" s="76" customFormat="1" ht="33.75" customHeight="1">
      <c r="A6" s="1110" t="s">
        <v>55</v>
      </c>
      <c r="B6" s="1110"/>
      <c r="C6" s="1108" t="s">
        <v>336</v>
      </c>
      <c r="D6" s="1108"/>
      <c r="E6" s="1109" t="s">
        <v>56</v>
      </c>
      <c r="F6" s="1109"/>
      <c r="G6" s="1109" t="s">
        <v>515</v>
      </c>
      <c r="H6" s="1109"/>
      <c r="I6" s="1109" t="s">
        <v>337</v>
      </c>
      <c r="J6" s="1109"/>
      <c r="K6" s="1109" t="s">
        <v>57</v>
      </c>
      <c r="L6" s="1109"/>
      <c r="M6" s="1109" t="s">
        <v>58</v>
      </c>
      <c r="N6" s="1109"/>
      <c r="O6" s="1109" t="s">
        <v>229</v>
      </c>
      <c r="P6" s="1109"/>
    </row>
    <row r="7" spans="1:16" s="76" customFormat="1">
      <c r="A7" s="1110"/>
      <c r="B7" s="1110"/>
      <c r="C7" s="425" t="s">
        <v>438</v>
      </c>
      <c r="D7" s="425" t="s">
        <v>439</v>
      </c>
      <c r="E7" s="425" t="s">
        <v>438</v>
      </c>
      <c r="F7" s="425" t="s">
        <v>439</v>
      </c>
      <c r="G7" s="425" t="s">
        <v>438</v>
      </c>
      <c r="H7" s="425" t="s">
        <v>439</v>
      </c>
      <c r="I7" s="425" t="s">
        <v>438</v>
      </c>
      <c r="J7" s="425" t="s">
        <v>439</v>
      </c>
      <c r="K7" s="425" t="s">
        <v>438</v>
      </c>
      <c r="L7" s="425" t="s">
        <v>439</v>
      </c>
      <c r="M7" s="425" t="s">
        <v>438</v>
      </c>
      <c r="N7" s="425" t="s">
        <v>439</v>
      </c>
      <c r="O7" s="425" t="s">
        <v>438</v>
      </c>
      <c r="P7" s="425" t="s">
        <v>439</v>
      </c>
    </row>
    <row r="8" spans="1:16" s="76" customFormat="1">
      <c r="A8" s="426" t="s">
        <v>338</v>
      </c>
      <c r="B8" s="427" t="s">
        <v>721</v>
      </c>
      <c r="C8" s="706">
        <f t="shared" ref="C8:D32" si="0">E8+G8+I8+K8+M8+O8</f>
        <v>177708890</v>
      </c>
      <c r="D8" s="706">
        <f t="shared" si="0"/>
        <v>170572592</v>
      </c>
      <c r="E8" s="707">
        <v>177708890</v>
      </c>
      <c r="F8" s="707">
        <f>177708890-6977497-160000+1199</f>
        <v>170572592</v>
      </c>
      <c r="G8" s="707"/>
      <c r="H8" s="707"/>
      <c r="I8" s="708"/>
      <c r="J8" s="708"/>
      <c r="K8" s="709"/>
      <c r="L8" s="709"/>
      <c r="M8" s="708"/>
      <c r="N8" s="708"/>
      <c r="O8" s="708"/>
      <c r="P8" s="708"/>
    </row>
    <row r="9" spans="1:16" s="76" customFormat="1">
      <c r="A9" s="426" t="s">
        <v>95</v>
      </c>
      <c r="B9" s="427" t="s">
        <v>722</v>
      </c>
      <c r="C9" s="706">
        <f t="shared" si="0"/>
        <v>2940000</v>
      </c>
      <c r="D9" s="706">
        <f t="shared" si="0"/>
        <v>3733800</v>
      </c>
      <c r="E9" s="707">
        <v>2940000</v>
      </c>
      <c r="F9" s="707">
        <f>2940000+793800</f>
        <v>3733800</v>
      </c>
      <c r="G9" s="707"/>
      <c r="H9" s="707"/>
      <c r="I9" s="708"/>
      <c r="J9" s="708"/>
      <c r="K9" s="709"/>
      <c r="L9" s="709"/>
      <c r="M9" s="708"/>
      <c r="N9" s="708"/>
      <c r="O9" s="708"/>
      <c r="P9" s="708"/>
    </row>
    <row r="10" spans="1:16" s="76" customFormat="1">
      <c r="A10" s="426" t="s">
        <v>339</v>
      </c>
      <c r="B10" s="427" t="s">
        <v>727</v>
      </c>
      <c r="C10" s="706">
        <f t="shared" si="0"/>
        <v>4500000</v>
      </c>
      <c r="D10" s="706">
        <f t="shared" si="0"/>
        <v>4500000</v>
      </c>
      <c r="E10" s="707">
        <v>4500000</v>
      </c>
      <c r="F10" s="707">
        <v>4500000</v>
      </c>
      <c r="G10" s="707"/>
      <c r="H10" s="707"/>
      <c r="I10" s="708"/>
      <c r="J10" s="708"/>
      <c r="K10" s="709"/>
      <c r="L10" s="709"/>
      <c r="M10" s="708"/>
      <c r="N10" s="708"/>
      <c r="O10" s="708"/>
      <c r="P10" s="708"/>
    </row>
    <row r="11" spans="1:16" s="76" customFormat="1">
      <c r="A11" s="426" t="s">
        <v>96</v>
      </c>
      <c r="B11" s="1011" t="s">
        <v>723</v>
      </c>
      <c r="C11" s="706">
        <f t="shared" si="0"/>
        <v>4248150</v>
      </c>
      <c r="D11" s="706">
        <f t="shared" si="0"/>
        <v>4248150</v>
      </c>
      <c r="E11" s="707">
        <v>4248150</v>
      </c>
      <c r="F11" s="707">
        <v>4248150</v>
      </c>
      <c r="G11" s="707"/>
      <c r="H11" s="707"/>
      <c r="I11" s="708"/>
      <c r="J11" s="708"/>
      <c r="K11" s="709"/>
      <c r="L11" s="709"/>
      <c r="M11" s="708"/>
      <c r="N11" s="708"/>
      <c r="O11" s="708"/>
      <c r="P11" s="708"/>
    </row>
    <row r="12" spans="1:16" s="76" customFormat="1">
      <c r="A12" s="426" t="s">
        <v>97</v>
      </c>
      <c r="B12" s="496" t="s">
        <v>724</v>
      </c>
      <c r="C12" s="706">
        <f t="shared" si="0"/>
        <v>34599999</v>
      </c>
      <c r="D12" s="706">
        <f t="shared" si="0"/>
        <v>34599999</v>
      </c>
      <c r="E12" s="707">
        <v>34599999</v>
      </c>
      <c r="F12" s="707">
        <v>34599999</v>
      </c>
      <c r="G12" s="707"/>
      <c r="H12" s="707"/>
      <c r="I12" s="708"/>
      <c r="J12" s="708"/>
      <c r="K12" s="709"/>
      <c r="L12" s="709"/>
      <c r="M12" s="708"/>
      <c r="N12" s="708"/>
      <c r="O12" s="708"/>
      <c r="P12" s="708"/>
    </row>
    <row r="13" spans="1:16" s="76" customFormat="1">
      <c r="A13" s="426" t="s">
        <v>98</v>
      </c>
      <c r="B13" s="496" t="s">
        <v>725</v>
      </c>
      <c r="C13" s="706">
        <f t="shared" si="0"/>
        <v>152523363</v>
      </c>
      <c r="D13" s="706">
        <f t="shared" si="0"/>
        <v>152523363</v>
      </c>
      <c r="E13" s="707">
        <v>152523363</v>
      </c>
      <c r="F13" s="707">
        <v>152523363</v>
      </c>
      <c r="G13" s="707"/>
      <c r="H13" s="707"/>
      <c r="I13" s="708"/>
      <c r="J13" s="708"/>
      <c r="K13" s="709"/>
      <c r="L13" s="709"/>
      <c r="M13" s="708"/>
      <c r="N13" s="708"/>
      <c r="O13" s="708"/>
      <c r="P13" s="708"/>
    </row>
    <row r="14" spans="1:16" s="76" customFormat="1">
      <c r="A14" s="426" t="s">
        <v>99</v>
      </c>
      <c r="B14" s="496" t="s">
        <v>462</v>
      </c>
      <c r="C14" s="706">
        <f t="shared" si="0"/>
        <v>999490</v>
      </c>
      <c r="D14" s="706">
        <f t="shared" si="0"/>
        <v>999490</v>
      </c>
      <c r="E14" s="707">
        <v>999490</v>
      </c>
      <c r="F14" s="707">
        <v>999490</v>
      </c>
      <c r="G14" s="707"/>
      <c r="H14" s="707"/>
      <c r="I14" s="708"/>
      <c r="J14" s="708"/>
      <c r="K14" s="709"/>
      <c r="L14" s="709"/>
      <c r="M14" s="708"/>
      <c r="N14" s="708"/>
      <c r="O14" s="708"/>
      <c r="P14" s="708"/>
    </row>
    <row r="15" spans="1:16" s="76" customFormat="1">
      <c r="A15" s="426"/>
      <c r="B15" s="496" t="s">
        <v>857</v>
      </c>
      <c r="C15" s="706"/>
      <c r="D15" s="706">
        <f t="shared" si="0"/>
        <v>342740</v>
      </c>
      <c r="E15" s="707"/>
      <c r="F15" s="707">
        <f>269875+72865</f>
        <v>342740</v>
      </c>
      <c r="G15" s="707"/>
      <c r="H15" s="707"/>
      <c r="I15" s="708"/>
      <c r="J15" s="708"/>
      <c r="K15" s="709"/>
      <c r="L15" s="709"/>
      <c r="M15" s="708"/>
      <c r="N15" s="708"/>
      <c r="O15" s="708"/>
      <c r="P15" s="708"/>
    </row>
    <row r="16" spans="1:16" s="76" customFormat="1">
      <c r="A16" s="426" t="s">
        <v>320</v>
      </c>
      <c r="B16" s="496" t="s">
        <v>736</v>
      </c>
      <c r="C16" s="706">
        <f t="shared" si="0"/>
        <v>508000</v>
      </c>
      <c r="D16" s="706">
        <f t="shared" si="0"/>
        <v>508000</v>
      </c>
      <c r="E16" s="707">
        <v>508000</v>
      </c>
      <c r="F16" s="707">
        <v>508000</v>
      </c>
      <c r="G16" s="707"/>
      <c r="H16" s="707"/>
      <c r="I16" s="708"/>
      <c r="J16" s="708"/>
      <c r="K16" s="709"/>
      <c r="L16" s="709"/>
      <c r="M16" s="708"/>
      <c r="N16" s="708"/>
      <c r="O16" s="708"/>
      <c r="P16" s="708"/>
    </row>
    <row r="17" spans="1:19" s="76" customFormat="1">
      <c r="A17" s="426" t="s">
        <v>100</v>
      </c>
      <c r="B17" s="427" t="s">
        <v>726</v>
      </c>
      <c r="C17" s="706">
        <f t="shared" si="0"/>
        <v>1000001</v>
      </c>
      <c r="D17" s="706">
        <f t="shared" si="0"/>
        <v>1000001</v>
      </c>
      <c r="E17" s="707">
        <v>1000001</v>
      </c>
      <c r="F17" s="707">
        <v>1000001</v>
      </c>
      <c r="G17" s="707"/>
      <c r="H17" s="707"/>
      <c r="I17" s="708"/>
      <c r="J17" s="708"/>
      <c r="K17" s="709"/>
      <c r="L17" s="709"/>
      <c r="M17" s="708"/>
      <c r="N17" s="708"/>
      <c r="O17" s="708"/>
      <c r="P17" s="708"/>
    </row>
    <row r="18" spans="1:19" s="76" customFormat="1" ht="14.25" customHeight="1">
      <c r="A18" s="426" t="s">
        <v>321</v>
      </c>
      <c r="B18" s="427" t="s">
        <v>728</v>
      </c>
      <c r="C18" s="706">
        <f t="shared" si="0"/>
        <v>228600</v>
      </c>
      <c r="D18" s="706">
        <f t="shared" si="0"/>
        <v>228600</v>
      </c>
      <c r="E18" s="707">
        <v>228600</v>
      </c>
      <c r="F18" s="707">
        <v>228600</v>
      </c>
      <c r="G18" s="707"/>
      <c r="H18" s="707"/>
      <c r="I18" s="708"/>
      <c r="J18" s="708"/>
      <c r="K18" s="709"/>
      <c r="L18" s="709"/>
      <c r="M18" s="708"/>
      <c r="N18" s="708"/>
      <c r="O18" s="708"/>
      <c r="P18" s="708"/>
      <c r="S18" s="178"/>
    </row>
    <row r="19" spans="1:19" s="76" customFormat="1">
      <c r="A19" s="426" t="s">
        <v>101</v>
      </c>
      <c r="B19" s="427" t="s">
        <v>729</v>
      </c>
      <c r="C19" s="706">
        <f t="shared" si="0"/>
        <v>508000</v>
      </c>
      <c r="D19" s="706">
        <f t="shared" si="0"/>
        <v>508000</v>
      </c>
      <c r="E19" s="707">
        <v>508000</v>
      </c>
      <c r="F19" s="707">
        <v>508000</v>
      </c>
      <c r="G19" s="707"/>
      <c r="H19" s="707"/>
      <c r="I19" s="708"/>
      <c r="J19" s="708"/>
      <c r="K19" s="709"/>
      <c r="L19" s="709"/>
      <c r="M19" s="708"/>
      <c r="N19" s="708"/>
      <c r="O19" s="708"/>
      <c r="P19" s="708"/>
    </row>
    <row r="20" spans="1:19" s="76" customFormat="1">
      <c r="A20" s="426" t="s">
        <v>102</v>
      </c>
      <c r="B20" s="1011" t="s">
        <v>730</v>
      </c>
      <c r="C20" s="706">
        <f t="shared" si="0"/>
        <v>2300000</v>
      </c>
      <c r="D20" s="706">
        <f t="shared" si="0"/>
        <v>2300000</v>
      </c>
      <c r="E20" s="707">
        <v>2300000</v>
      </c>
      <c r="F20" s="707">
        <v>2300000</v>
      </c>
      <c r="G20" s="707"/>
      <c r="H20" s="707"/>
      <c r="I20" s="708"/>
      <c r="J20" s="708"/>
      <c r="K20" s="709"/>
      <c r="L20" s="709"/>
      <c r="M20" s="708"/>
      <c r="N20" s="708"/>
      <c r="O20" s="708"/>
      <c r="P20" s="708"/>
    </row>
    <row r="21" spans="1:19" s="76" customFormat="1">
      <c r="A21" s="426" t="s">
        <v>103</v>
      </c>
      <c r="B21" s="427" t="s">
        <v>731</v>
      </c>
      <c r="C21" s="706">
        <f t="shared" si="0"/>
        <v>500000</v>
      </c>
      <c r="D21" s="706">
        <f t="shared" si="0"/>
        <v>500000</v>
      </c>
      <c r="E21" s="710">
        <v>500000</v>
      </c>
      <c r="F21" s="710">
        <v>500000</v>
      </c>
      <c r="G21" s="707"/>
      <c r="H21" s="707"/>
      <c r="I21" s="708"/>
      <c r="J21" s="708"/>
      <c r="K21" s="709"/>
      <c r="L21" s="709"/>
      <c r="M21" s="708"/>
      <c r="N21" s="708"/>
      <c r="O21" s="708"/>
      <c r="P21" s="708"/>
    </row>
    <row r="22" spans="1:19" s="76" customFormat="1">
      <c r="A22" s="426" t="s">
        <v>322</v>
      </c>
      <c r="B22" s="427" t="s">
        <v>732</v>
      </c>
      <c r="C22" s="706">
        <f t="shared" si="0"/>
        <v>1905000</v>
      </c>
      <c r="D22" s="706">
        <f t="shared" si="0"/>
        <v>1905000</v>
      </c>
      <c r="E22" s="710">
        <v>1905000</v>
      </c>
      <c r="F22" s="710">
        <v>1905000</v>
      </c>
      <c r="G22" s="707"/>
      <c r="H22" s="707"/>
      <c r="I22" s="708"/>
      <c r="J22" s="708"/>
      <c r="K22" s="709"/>
      <c r="L22" s="709"/>
      <c r="M22" s="708"/>
      <c r="N22" s="708"/>
      <c r="O22" s="708"/>
      <c r="P22" s="708"/>
    </row>
    <row r="23" spans="1:19" s="76" customFormat="1">
      <c r="A23" s="426" t="s">
        <v>340</v>
      </c>
      <c r="B23" s="427" t="s">
        <v>733</v>
      </c>
      <c r="C23" s="706">
        <f t="shared" si="0"/>
        <v>1270000</v>
      </c>
      <c r="D23" s="706">
        <f t="shared" ref="D23:D29" si="1">F23+H23+J23+L23+N23+P23</f>
        <v>1270000</v>
      </c>
      <c r="E23" s="710">
        <v>1270000</v>
      </c>
      <c r="F23" s="710">
        <v>1270000</v>
      </c>
      <c r="G23" s="707"/>
      <c r="H23" s="707"/>
      <c r="I23" s="708"/>
      <c r="J23" s="708"/>
      <c r="K23" s="709"/>
      <c r="L23" s="709"/>
      <c r="M23" s="708"/>
      <c r="N23" s="708"/>
      <c r="O23" s="708"/>
      <c r="P23" s="708"/>
    </row>
    <row r="24" spans="1:19" s="76" customFormat="1">
      <c r="A24" s="426" t="s">
        <v>323</v>
      </c>
      <c r="B24" s="427" t="s">
        <v>734</v>
      </c>
      <c r="C24" s="706">
        <f t="shared" si="0"/>
        <v>500000</v>
      </c>
      <c r="D24" s="706">
        <f t="shared" si="1"/>
        <v>500000</v>
      </c>
      <c r="E24" s="710">
        <v>500000</v>
      </c>
      <c r="F24" s="710">
        <v>500000</v>
      </c>
      <c r="G24" s="707"/>
      <c r="H24" s="707"/>
      <c r="I24" s="708"/>
      <c r="J24" s="708"/>
      <c r="K24" s="709"/>
      <c r="L24" s="709"/>
      <c r="M24" s="708"/>
      <c r="N24" s="708"/>
      <c r="O24" s="708"/>
      <c r="P24" s="708"/>
    </row>
    <row r="25" spans="1:19" s="76" customFormat="1">
      <c r="A25" s="426" t="s">
        <v>130</v>
      </c>
      <c r="B25" s="427" t="s">
        <v>735</v>
      </c>
      <c r="C25" s="706">
        <f t="shared" si="0"/>
        <v>2000000</v>
      </c>
      <c r="D25" s="706">
        <f t="shared" si="1"/>
        <v>2000000</v>
      </c>
      <c r="E25" s="710">
        <v>2000000</v>
      </c>
      <c r="F25" s="710">
        <v>2000000</v>
      </c>
      <c r="G25" s="707"/>
      <c r="H25" s="707"/>
      <c r="I25" s="708"/>
      <c r="J25" s="708"/>
      <c r="K25" s="709"/>
      <c r="L25" s="709"/>
      <c r="M25" s="708"/>
      <c r="N25" s="708"/>
      <c r="O25" s="708"/>
      <c r="P25" s="708"/>
    </row>
    <row r="26" spans="1:19" s="76" customFormat="1">
      <c r="A26" s="426" t="s">
        <v>131</v>
      </c>
      <c r="B26" s="427" t="s">
        <v>856</v>
      </c>
      <c r="C26" s="706"/>
      <c r="D26" s="706">
        <f t="shared" si="1"/>
        <v>533400</v>
      </c>
      <c r="E26" s="710"/>
      <c r="F26" s="710">
        <f>420000+113400</f>
        <v>533400</v>
      </c>
      <c r="G26" s="707"/>
      <c r="H26" s="707"/>
      <c r="I26" s="708"/>
      <c r="J26" s="708"/>
      <c r="K26" s="709"/>
      <c r="L26" s="709"/>
      <c r="M26" s="708"/>
      <c r="N26" s="708"/>
      <c r="O26" s="708"/>
      <c r="P26" s="708"/>
    </row>
    <row r="27" spans="1:19" s="76" customFormat="1">
      <c r="A27" s="426" t="s">
        <v>132</v>
      </c>
      <c r="B27" s="427" t="s">
        <v>858</v>
      </c>
      <c r="C27" s="706"/>
      <c r="D27" s="706">
        <f t="shared" si="1"/>
        <v>4445000</v>
      </c>
      <c r="E27" s="710"/>
      <c r="F27" s="710">
        <f>4445000</f>
        <v>4445000</v>
      </c>
      <c r="G27" s="707"/>
      <c r="H27" s="707"/>
      <c r="I27" s="708"/>
      <c r="J27" s="708"/>
      <c r="K27" s="709"/>
      <c r="L27" s="709"/>
      <c r="M27" s="708"/>
      <c r="N27" s="708"/>
      <c r="O27" s="708"/>
      <c r="P27" s="708"/>
    </row>
    <row r="28" spans="1:19" s="76" customFormat="1">
      <c r="A28" s="426" t="s">
        <v>341</v>
      </c>
      <c r="B28" s="427" t="s">
        <v>860</v>
      </c>
      <c r="C28" s="706"/>
      <c r="D28" s="706">
        <f t="shared" si="1"/>
        <v>2918897</v>
      </c>
      <c r="E28" s="710"/>
      <c r="F28" s="710">
        <v>2918897</v>
      </c>
      <c r="G28" s="707"/>
      <c r="H28" s="707"/>
      <c r="I28" s="708"/>
      <c r="J28" s="708"/>
      <c r="K28" s="709"/>
      <c r="L28" s="709"/>
      <c r="M28" s="708"/>
      <c r="N28" s="708"/>
      <c r="O28" s="708"/>
      <c r="P28" s="708"/>
    </row>
    <row r="29" spans="1:19" s="76" customFormat="1">
      <c r="A29" s="426" t="s">
        <v>342</v>
      </c>
      <c r="B29" s="427" t="s">
        <v>859</v>
      </c>
      <c r="C29" s="706"/>
      <c r="D29" s="706">
        <f t="shared" si="1"/>
        <v>1058291</v>
      </c>
      <c r="E29" s="710"/>
      <c r="F29" s="710">
        <v>1058291</v>
      </c>
      <c r="G29" s="707"/>
      <c r="H29" s="707"/>
      <c r="I29" s="708"/>
      <c r="J29" s="708"/>
      <c r="K29" s="709"/>
      <c r="L29" s="709"/>
      <c r="M29" s="708"/>
      <c r="N29" s="708"/>
      <c r="O29" s="708"/>
      <c r="P29" s="708"/>
    </row>
    <row r="30" spans="1:19" s="76" customFormat="1">
      <c r="A30" s="426" t="s">
        <v>343</v>
      </c>
      <c r="B30" s="561" t="s">
        <v>700</v>
      </c>
      <c r="C30" s="706">
        <f t="shared" si="0"/>
        <v>6930400</v>
      </c>
      <c r="D30" s="706">
        <f t="shared" si="0"/>
        <v>6930400</v>
      </c>
      <c r="E30" s="710"/>
      <c r="F30" s="710"/>
      <c r="G30" s="707">
        <v>6930400</v>
      </c>
      <c r="H30" s="707">
        <v>6930400</v>
      </c>
      <c r="I30" s="708"/>
      <c r="J30" s="708"/>
      <c r="K30" s="709"/>
      <c r="L30" s="709"/>
      <c r="M30" s="708"/>
      <c r="N30" s="708"/>
      <c r="O30" s="708"/>
      <c r="P30" s="708"/>
    </row>
    <row r="31" spans="1:19" s="76" customFormat="1">
      <c r="A31" s="426" t="s">
        <v>344</v>
      </c>
      <c r="B31" s="562" t="s">
        <v>701</v>
      </c>
      <c r="C31" s="706">
        <f t="shared" si="0"/>
        <v>635000</v>
      </c>
      <c r="D31" s="706">
        <f t="shared" si="0"/>
        <v>635000</v>
      </c>
      <c r="E31" s="710"/>
      <c r="F31" s="710"/>
      <c r="G31" s="707">
        <v>635000</v>
      </c>
      <c r="H31" s="707">
        <v>635000</v>
      </c>
      <c r="I31" s="708"/>
      <c r="J31" s="708"/>
      <c r="K31" s="709"/>
      <c r="L31" s="709"/>
      <c r="M31" s="708"/>
      <c r="N31" s="708"/>
      <c r="O31" s="708"/>
      <c r="P31" s="708"/>
    </row>
    <row r="32" spans="1:19" s="76" customFormat="1">
      <c r="A32" s="426" t="s">
        <v>345</v>
      </c>
      <c r="B32" s="1009" t="s">
        <v>704</v>
      </c>
      <c r="C32" s="706">
        <f t="shared" si="0"/>
        <v>1524000</v>
      </c>
      <c r="D32" s="706">
        <f t="shared" si="0"/>
        <v>1524000</v>
      </c>
      <c r="E32" s="710"/>
      <c r="F32" s="710"/>
      <c r="G32" s="707"/>
      <c r="H32" s="707"/>
      <c r="I32" s="708"/>
      <c r="J32" s="708"/>
      <c r="K32" s="709"/>
      <c r="L32" s="709"/>
      <c r="M32" s="708">
        <v>1524000</v>
      </c>
      <c r="N32" s="708">
        <v>1524000</v>
      </c>
      <c r="O32" s="708"/>
      <c r="P32" s="708"/>
    </row>
    <row r="33" spans="1:16" s="76" customFormat="1">
      <c r="A33" s="426" t="s">
        <v>647</v>
      </c>
      <c r="B33" s="1009" t="s">
        <v>705</v>
      </c>
      <c r="C33" s="702">
        <f t="shared" ref="C33:D44" si="2">E33+G33+I33+K33+M33+O33</f>
        <v>2032000</v>
      </c>
      <c r="D33" s="702">
        <f t="shared" si="2"/>
        <v>2032000</v>
      </c>
      <c r="E33" s="711"/>
      <c r="F33" s="711"/>
      <c r="G33" s="708"/>
      <c r="H33" s="708"/>
      <c r="I33" s="708"/>
      <c r="J33" s="708"/>
      <c r="K33" s="708"/>
      <c r="L33" s="708"/>
      <c r="M33" s="708">
        <v>2032000</v>
      </c>
      <c r="N33" s="708">
        <v>2032000</v>
      </c>
      <c r="O33" s="708"/>
      <c r="P33" s="708"/>
    </row>
    <row r="34" spans="1:16" s="76" customFormat="1">
      <c r="A34" s="426" t="s">
        <v>648</v>
      </c>
      <c r="B34" s="1009" t="s">
        <v>706</v>
      </c>
      <c r="C34" s="702">
        <f t="shared" si="2"/>
        <v>287000</v>
      </c>
      <c r="D34" s="702">
        <f t="shared" si="2"/>
        <v>287000</v>
      </c>
      <c r="E34" s="708"/>
      <c r="F34" s="708"/>
      <c r="G34" s="708"/>
      <c r="H34" s="708"/>
      <c r="I34" s="708"/>
      <c r="J34" s="708"/>
      <c r="K34" s="708">
        <v>287000</v>
      </c>
      <c r="L34" s="708">
        <v>287000</v>
      </c>
      <c r="M34" s="708"/>
      <c r="N34" s="708"/>
      <c r="O34" s="708"/>
      <c r="P34" s="708"/>
    </row>
    <row r="35" spans="1:16" s="76" customFormat="1">
      <c r="A35" s="426" t="s">
        <v>649</v>
      </c>
      <c r="B35" s="496" t="s">
        <v>707</v>
      </c>
      <c r="C35" s="702">
        <f t="shared" si="2"/>
        <v>350001</v>
      </c>
      <c r="D35" s="702">
        <f t="shared" si="2"/>
        <v>350001</v>
      </c>
      <c r="E35" s="708"/>
      <c r="F35" s="708"/>
      <c r="G35" s="708"/>
      <c r="H35" s="708"/>
      <c r="I35" s="708">
        <v>350001</v>
      </c>
      <c r="J35" s="708">
        <v>350001</v>
      </c>
      <c r="K35" s="708"/>
      <c r="L35" s="708"/>
      <c r="M35" s="708"/>
      <c r="N35" s="708"/>
      <c r="O35" s="708"/>
      <c r="P35" s="708"/>
    </row>
    <row r="36" spans="1:16" s="76" customFormat="1">
      <c r="A36" s="426" t="s">
        <v>356</v>
      </c>
      <c r="B36" s="495" t="s">
        <v>709</v>
      </c>
      <c r="C36" s="702">
        <f t="shared" si="2"/>
        <v>550000</v>
      </c>
      <c r="D36" s="702">
        <f t="shared" si="2"/>
        <v>550000</v>
      </c>
      <c r="E36" s="708"/>
      <c r="F36" s="708"/>
      <c r="G36" s="708"/>
      <c r="H36" s="708"/>
      <c r="I36" s="708">
        <v>550000</v>
      </c>
      <c r="J36" s="708">
        <v>550000</v>
      </c>
      <c r="K36" s="708"/>
      <c r="L36" s="708"/>
      <c r="M36" s="708"/>
      <c r="N36" s="708"/>
      <c r="O36" s="708"/>
      <c r="P36" s="708"/>
    </row>
    <row r="37" spans="1:16" s="76" customFormat="1">
      <c r="A37" s="426" t="s">
        <v>444</v>
      </c>
      <c r="B37" s="495" t="s">
        <v>710</v>
      </c>
      <c r="C37" s="702">
        <f t="shared" si="2"/>
        <v>750000</v>
      </c>
      <c r="D37" s="702">
        <f>F37+H37+J37+L37+N37+P37</f>
        <v>750000</v>
      </c>
      <c r="E37" s="708"/>
      <c r="F37" s="708"/>
      <c r="G37" s="708"/>
      <c r="H37" s="708"/>
      <c r="I37" s="708">
        <v>750000</v>
      </c>
      <c r="J37" s="708">
        <v>750000</v>
      </c>
      <c r="K37" s="708"/>
      <c r="L37" s="708"/>
      <c r="M37" s="708"/>
      <c r="N37" s="708"/>
      <c r="O37" s="708"/>
      <c r="P37" s="708"/>
    </row>
    <row r="38" spans="1:16" s="76" customFormat="1">
      <c r="A38" s="426" t="s">
        <v>650</v>
      </c>
      <c r="B38" s="495" t="s">
        <v>708</v>
      </c>
      <c r="C38" s="702">
        <f t="shared" si="2"/>
        <v>500000</v>
      </c>
      <c r="D38" s="702">
        <f t="shared" si="2"/>
        <v>500000</v>
      </c>
      <c r="E38" s="708"/>
      <c r="F38" s="708"/>
      <c r="G38" s="708"/>
      <c r="H38" s="708"/>
      <c r="I38" s="708">
        <v>500000</v>
      </c>
      <c r="J38" s="708">
        <v>500000</v>
      </c>
      <c r="K38" s="708"/>
      <c r="L38" s="708"/>
      <c r="M38" s="708"/>
      <c r="N38" s="708"/>
      <c r="O38" s="708"/>
      <c r="P38" s="708"/>
    </row>
    <row r="39" spans="1:16" s="76" customFormat="1">
      <c r="A39" s="426" t="s">
        <v>651</v>
      </c>
      <c r="B39" s="495" t="s">
        <v>711</v>
      </c>
      <c r="C39" s="702">
        <f t="shared" si="2"/>
        <v>127000</v>
      </c>
      <c r="D39" s="702">
        <f t="shared" si="2"/>
        <v>127000</v>
      </c>
      <c r="E39" s="708"/>
      <c r="F39" s="708"/>
      <c r="G39" s="708"/>
      <c r="H39" s="708"/>
      <c r="I39" s="708">
        <v>127000</v>
      </c>
      <c r="J39" s="708">
        <v>127000</v>
      </c>
      <c r="K39" s="708"/>
      <c r="L39" s="708"/>
      <c r="M39" s="708"/>
      <c r="N39" s="708"/>
      <c r="O39" s="708"/>
      <c r="P39" s="708"/>
    </row>
    <row r="40" spans="1:16" s="76" customFormat="1">
      <c r="A40" s="426" t="s">
        <v>671</v>
      </c>
      <c r="B40" s="495" t="s">
        <v>712</v>
      </c>
      <c r="C40" s="702">
        <f t="shared" si="2"/>
        <v>7500000</v>
      </c>
      <c r="D40" s="702">
        <f t="shared" si="2"/>
        <v>7500000</v>
      </c>
      <c r="E40" s="708"/>
      <c r="F40" s="708"/>
      <c r="G40" s="708"/>
      <c r="H40" s="708"/>
      <c r="I40" s="708">
        <v>7500000</v>
      </c>
      <c r="J40" s="708">
        <v>7500000</v>
      </c>
      <c r="K40" s="708"/>
      <c r="L40" s="708"/>
      <c r="M40" s="708"/>
      <c r="N40" s="708"/>
      <c r="O40" s="708"/>
      <c r="P40" s="708"/>
    </row>
    <row r="41" spans="1:16" s="76" customFormat="1">
      <c r="A41" s="426" t="s">
        <v>672</v>
      </c>
      <c r="B41" s="495" t="s">
        <v>713</v>
      </c>
      <c r="C41" s="702">
        <f t="shared" si="2"/>
        <v>250000</v>
      </c>
      <c r="D41" s="702">
        <f t="shared" si="2"/>
        <v>250000</v>
      </c>
      <c r="E41" s="708"/>
      <c r="F41" s="708"/>
      <c r="G41" s="708"/>
      <c r="H41" s="708"/>
      <c r="I41" s="708">
        <v>250000</v>
      </c>
      <c r="J41" s="708">
        <v>250000</v>
      </c>
      <c r="K41" s="708"/>
      <c r="L41" s="708"/>
      <c r="M41" s="708"/>
      <c r="N41" s="708"/>
      <c r="O41" s="708"/>
      <c r="P41" s="708"/>
    </row>
    <row r="42" spans="1:16" s="76" customFormat="1">
      <c r="A42" s="426" t="s">
        <v>673</v>
      </c>
      <c r="B42" s="495" t="s">
        <v>714</v>
      </c>
      <c r="C42" s="702">
        <f t="shared" si="2"/>
        <v>170000</v>
      </c>
      <c r="D42" s="702">
        <f t="shared" si="2"/>
        <v>170000</v>
      </c>
      <c r="E42" s="708"/>
      <c r="F42" s="708"/>
      <c r="G42" s="708"/>
      <c r="H42" s="708"/>
      <c r="I42" s="708">
        <v>170000</v>
      </c>
      <c r="J42" s="708">
        <v>170000</v>
      </c>
      <c r="K42" s="708"/>
      <c r="L42" s="708"/>
      <c r="M42" s="708"/>
      <c r="N42" s="708"/>
      <c r="O42" s="708"/>
      <c r="P42" s="708"/>
    </row>
    <row r="43" spans="1:16" s="76" customFormat="1">
      <c r="A43" s="426" t="s">
        <v>674</v>
      </c>
      <c r="B43" s="1013" t="s">
        <v>775</v>
      </c>
      <c r="C43" s="702">
        <f t="shared" si="2"/>
        <v>500000</v>
      </c>
      <c r="D43" s="702">
        <f t="shared" si="2"/>
        <v>500000</v>
      </c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>
        <v>500000</v>
      </c>
      <c r="P43" s="708">
        <v>500000</v>
      </c>
    </row>
    <row r="44" spans="1:16" s="76" customFormat="1">
      <c r="A44" s="426" t="s">
        <v>675</v>
      </c>
      <c r="B44" s="1013" t="s">
        <v>776</v>
      </c>
      <c r="C44" s="702">
        <f t="shared" si="2"/>
        <v>300000</v>
      </c>
      <c r="D44" s="702">
        <f t="shared" si="2"/>
        <v>300000</v>
      </c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>
        <v>300000</v>
      </c>
      <c r="P44" s="708">
        <v>300000</v>
      </c>
    </row>
    <row r="45" spans="1:16" s="76" customFormat="1">
      <c r="A45" s="426" t="s">
        <v>676</v>
      </c>
      <c r="B45" s="1013" t="s">
        <v>777</v>
      </c>
      <c r="C45" s="712">
        <f t="shared" ref="C45:D52" si="3">E45+G45+I45+K45+M45+O45</f>
        <v>3000000</v>
      </c>
      <c r="D45" s="712">
        <f t="shared" si="3"/>
        <v>3000000</v>
      </c>
      <c r="E45" s="708"/>
      <c r="F45" s="708"/>
      <c r="G45" s="708"/>
      <c r="H45" s="708"/>
      <c r="I45" s="708"/>
      <c r="J45" s="708"/>
      <c r="K45" s="709"/>
      <c r="L45" s="709"/>
      <c r="M45" s="708"/>
      <c r="N45" s="708"/>
      <c r="O45" s="708">
        <v>3000000</v>
      </c>
      <c r="P45" s="708">
        <v>3000000</v>
      </c>
    </row>
    <row r="46" spans="1:16" s="76" customFormat="1">
      <c r="A46" s="426" t="s">
        <v>677</v>
      </c>
      <c r="B46" s="1013" t="s">
        <v>778</v>
      </c>
      <c r="C46" s="712">
        <f t="shared" si="3"/>
        <v>8200000</v>
      </c>
      <c r="D46" s="712">
        <f t="shared" si="3"/>
        <v>8200000</v>
      </c>
      <c r="E46" s="711"/>
      <c r="F46" s="711"/>
      <c r="G46" s="708"/>
      <c r="H46" s="708"/>
      <c r="I46" s="708"/>
      <c r="J46" s="708"/>
      <c r="K46" s="709"/>
      <c r="L46" s="709"/>
      <c r="M46" s="708"/>
      <c r="N46" s="708"/>
      <c r="O46" s="708">
        <v>8200000</v>
      </c>
      <c r="P46" s="708">
        <v>8200000</v>
      </c>
    </row>
    <row r="47" spans="1:16" s="76" customFormat="1">
      <c r="A47" s="426" t="s">
        <v>737</v>
      </c>
      <c r="B47" s="1013" t="s">
        <v>779</v>
      </c>
      <c r="C47" s="712">
        <f t="shared" si="3"/>
        <v>200000</v>
      </c>
      <c r="D47" s="712">
        <f t="shared" si="3"/>
        <v>200000</v>
      </c>
      <c r="E47" s="708"/>
      <c r="F47" s="709"/>
      <c r="G47" s="708"/>
      <c r="H47" s="708"/>
      <c r="I47" s="708"/>
      <c r="J47" s="708"/>
      <c r="K47" s="709"/>
      <c r="L47" s="709"/>
      <c r="M47" s="708"/>
      <c r="N47" s="708"/>
      <c r="O47" s="708">
        <v>200000</v>
      </c>
      <c r="P47" s="708">
        <v>200000</v>
      </c>
    </row>
    <row r="48" spans="1:16" s="76" customFormat="1">
      <c r="A48" s="426" t="s">
        <v>861</v>
      </c>
      <c r="B48" s="1013" t="s">
        <v>780</v>
      </c>
      <c r="C48" s="712">
        <f t="shared" si="3"/>
        <v>300000</v>
      </c>
      <c r="D48" s="712">
        <f t="shared" si="3"/>
        <v>300000</v>
      </c>
      <c r="E48" s="709"/>
      <c r="F48" s="709"/>
      <c r="G48" s="709"/>
      <c r="H48" s="709"/>
      <c r="I48" s="709"/>
      <c r="J48" s="709"/>
      <c r="K48" s="709"/>
      <c r="L48" s="709"/>
      <c r="M48" s="709"/>
      <c r="N48" s="709"/>
      <c r="O48" s="709">
        <v>300000</v>
      </c>
      <c r="P48" s="709">
        <v>300000</v>
      </c>
    </row>
    <row r="49" spans="1:16" s="76" customFormat="1">
      <c r="A49" s="426" t="s">
        <v>862</v>
      </c>
      <c r="B49" s="1013" t="s">
        <v>781</v>
      </c>
      <c r="C49" s="712">
        <f t="shared" si="3"/>
        <v>1587500</v>
      </c>
      <c r="D49" s="712">
        <f t="shared" si="3"/>
        <v>1587500</v>
      </c>
      <c r="E49" s="709"/>
      <c r="F49" s="709"/>
      <c r="G49" s="709"/>
      <c r="H49" s="709"/>
      <c r="I49" s="709"/>
      <c r="J49" s="709"/>
      <c r="K49" s="709"/>
      <c r="L49" s="709"/>
      <c r="M49" s="709"/>
      <c r="N49" s="709"/>
      <c r="O49" s="709">
        <v>1587500</v>
      </c>
      <c r="P49" s="709">
        <v>1587500</v>
      </c>
    </row>
    <row r="50" spans="1:16" s="76" customFormat="1">
      <c r="A50" s="426" t="s">
        <v>863</v>
      </c>
      <c r="B50" s="1013" t="s">
        <v>782</v>
      </c>
      <c r="C50" s="712">
        <f t="shared" si="3"/>
        <v>3500000</v>
      </c>
      <c r="D50" s="712">
        <f t="shared" si="3"/>
        <v>3500000</v>
      </c>
      <c r="E50" s="709"/>
      <c r="F50" s="709"/>
      <c r="G50" s="709"/>
      <c r="H50" s="709"/>
      <c r="I50" s="709"/>
      <c r="J50" s="709"/>
      <c r="K50" s="709"/>
      <c r="L50" s="709"/>
      <c r="M50" s="709"/>
      <c r="N50" s="709"/>
      <c r="O50" s="709">
        <v>3500000</v>
      </c>
      <c r="P50" s="709">
        <v>3500000</v>
      </c>
    </row>
    <row r="51" spans="1:16" s="76" customFormat="1">
      <c r="A51" s="426" t="s">
        <v>864</v>
      </c>
      <c r="B51" s="1013" t="s">
        <v>783</v>
      </c>
      <c r="C51" s="712">
        <f t="shared" si="3"/>
        <v>1500000</v>
      </c>
      <c r="D51" s="712">
        <f t="shared" si="3"/>
        <v>1448247</v>
      </c>
      <c r="E51" s="709"/>
      <c r="F51" s="709"/>
      <c r="G51" s="709"/>
      <c r="H51" s="709"/>
      <c r="I51" s="709"/>
      <c r="J51" s="709"/>
      <c r="K51" s="709"/>
      <c r="L51" s="709"/>
      <c r="M51" s="709"/>
      <c r="N51" s="709"/>
      <c r="O51" s="709">
        <v>1500000</v>
      </c>
      <c r="P51" s="709">
        <f>1500000-51753</f>
        <v>1448247</v>
      </c>
    </row>
    <row r="52" spans="1:16" s="76" customFormat="1">
      <c r="A52" s="426" t="s">
        <v>868</v>
      </c>
      <c r="B52" s="408" t="s">
        <v>869</v>
      </c>
      <c r="C52" s="712"/>
      <c r="D52" s="712">
        <f t="shared" si="3"/>
        <v>60000</v>
      </c>
      <c r="E52" s="709"/>
      <c r="F52" s="709"/>
      <c r="G52" s="709"/>
      <c r="H52" s="709">
        <v>60000</v>
      </c>
      <c r="I52" s="709"/>
      <c r="J52" s="709"/>
      <c r="K52" s="709"/>
      <c r="L52" s="709"/>
      <c r="M52" s="709"/>
      <c r="N52" s="709"/>
      <c r="O52" s="709"/>
      <c r="P52" s="709"/>
    </row>
    <row r="53" spans="1:16" s="76" customFormat="1">
      <c r="A53" s="426"/>
      <c r="B53" s="433" t="s">
        <v>71</v>
      </c>
      <c r="C53" s="713">
        <f>E53+G53+I53+K53+M53+O53</f>
        <v>428932394</v>
      </c>
      <c r="D53" s="713">
        <f>F53+H53+J53+L53+N53+P53</f>
        <v>431896471</v>
      </c>
      <c r="E53" s="714">
        <f t="shared" ref="E53:P53" si="4">SUM(E8:E52)</f>
        <v>388239493</v>
      </c>
      <c r="F53" s="714">
        <f t="shared" si="4"/>
        <v>391195323</v>
      </c>
      <c r="G53" s="714">
        <f t="shared" si="4"/>
        <v>7565400</v>
      </c>
      <c r="H53" s="714">
        <f t="shared" si="4"/>
        <v>7625400</v>
      </c>
      <c r="I53" s="714">
        <f t="shared" si="4"/>
        <v>10197001</v>
      </c>
      <c r="J53" s="714">
        <f t="shared" si="4"/>
        <v>10197001</v>
      </c>
      <c r="K53" s="714">
        <f t="shared" si="4"/>
        <v>287000</v>
      </c>
      <c r="L53" s="714">
        <f t="shared" si="4"/>
        <v>287000</v>
      </c>
      <c r="M53" s="714">
        <f t="shared" si="4"/>
        <v>3556000</v>
      </c>
      <c r="N53" s="714">
        <f t="shared" si="4"/>
        <v>3556000</v>
      </c>
      <c r="O53" s="714">
        <f t="shared" si="4"/>
        <v>19087500</v>
      </c>
      <c r="P53" s="714">
        <f t="shared" si="4"/>
        <v>19035747</v>
      </c>
    </row>
    <row r="54" spans="1:16" s="76" customFormat="1">
      <c r="A54" s="155"/>
      <c r="C54" s="715"/>
      <c r="D54" s="715"/>
      <c r="E54" s="715"/>
      <c r="F54" s="715"/>
      <c r="G54" s="715"/>
      <c r="H54" s="715"/>
      <c r="I54" s="715"/>
      <c r="J54" s="715"/>
      <c r="K54" s="715"/>
      <c r="L54" s="715"/>
      <c r="M54" s="715"/>
      <c r="N54" s="715"/>
      <c r="O54" s="715"/>
      <c r="P54" s="715"/>
    </row>
    <row r="55" spans="1:16" s="76" customFormat="1">
      <c r="A55" s="155"/>
      <c r="C55" s="715"/>
      <c r="D55" s="715"/>
      <c r="E55" s="715"/>
      <c r="F55" s="715"/>
      <c r="G55" s="715"/>
      <c r="H55" s="715"/>
      <c r="I55" s="715"/>
      <c r="J55" s="715"/>
      <c r="K55" s="715"/>
      <c r="L55" s="715"/>
      <c r="M55" s="715"/>
      <c r="N55" s="715"/>
      <c r="O55" s="715"/>
      <c r="P55" s="715"/>
    </row>
    <row r="56" spans="1:16" s="76" customFormat="1">
      <c r="A56" s="155"/>
      <c r="C56" s="715"/>
      <c r="D56" s="715"/>
      <c r="E56" s="715"/>
      <c r="F56" s="715"/>
      <c r="G56" s="715"/>
      <c r="H56" s="715"/>
      <c r="I56" s="715"/>
      <c r="J56" s="715"/>
      <c r="K56" s="715"/>
      <c r="L56" s="715"/>
      <c r="M56" s="715"/>
      <c r="N56" s="715"/>
      <c r="O56" s="715"/>
      <c r="P56" s="715"/>
    </row>
    <row r="57" spans="1:16" s="76" customFormat="1">
      <c r="A57" s="155"/>
      <c r="C57" s="715"/>
      <c r="D57" s="71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15"/>
    </row>
    <row r="58" spans="1:16" s="76" customFormat="1">
      <c r="C58" s="715"/>
      <c r="D58" s="715"/>
      <c r="E58" s="715"/>
      <c r="F58" s="715"/>
      <c r="G58" s="715"/>
      <c r="H58" s="715"/>
      <c r="I58" s="715"/>
      <c r="J58" s="715"/>
      <c r="K58" s="715">
        <f>G53+I53+K53+M53+O53</f>
        <v>40692901</v>
      </c>
      <c r="L58" s="715">
        <f>H53+J53+L53+N53+P53</f>
        <v>40701148</v>
      </c>
      <c r="M58" s="715"/>
      <c r="N58" s="715"/>
      <c r="O58" s="715"/>
      <c r="P58" s="715"/>
    </row>
    <row r="59" spans="1:16" s="76" customFormat="1">
      <c r="C59" s="715"/>
      <c r="D59" s="715">
        <f>D53-C53</f>
        <v>2964077</v>
      </c>
      <c r="E59" s="715"/>
      <c r="F59" s="715"/>
      <c r="G59" s="715"/>
      <c r="H59" s="715"/>
      <c r="I59" s="715"/>
      <c r="J59" s="715"/>
      <c r="K59" s="715"/>
      <c r="L59" s="715"/>
      <c r="M59" s="715"/>
      <c r="N59" s="715"/>
      <c r="O59" s="715"/>
      <c r="P59" s="715"/>
    </row>
    <row r="60" spans="1:16" s="76" customFormat="1"/>
    <row r="61" spans="1:16" s="76" customFormat="1"/>
    <row r="62" spans="1:16" s="76" customFormat="1"/>
    <row r="63" spans="1:16" s="76" customFormat="1"/>
    <row r="64" spans="1:16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</sheetData>
  <mergeCells count="9">
    <mergeCell ref="C6:D6"/>
    <mergeCell ref="E6:F6"/>
    <mergeCell ref="G6:H6"/>
    <mergeCell ref="B4:O4"/>
    <mergeCell ref="I6:J6"/>
    <mergeCell ref="K6:L6"/>
    <mergeCell ref="M6:N6"/>
    <mergeCell ref="O6:P6"/>
    <mergeCell ref="A6:B7"/>
  </mergeCells>
  <phoneticPr fontId="1" type="noConversion"/>
  <printOptions horizontalCentered="1"/>
  <pageMargins left="0.15748031496062992" right="0.15748031496062992" top="0.86614173228346458" bottom="0" header="0.11811023622047245" footer="0"/>
  <pageSetup paperSize="9" scale="6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98E2-9837-4E4A-A330-4D3CD28E5438}">
  <sheetPr>
    <pageSetUpPr fitToPage="1"/>
  </sheetPr>
  <dimension ref="B1:Q73"/>
  <sheetViews>
    <sheetView workbookViewId="0">
      <selection activeCell="E38" sqref="E38"/>
    </sheetView>
  </sheetViews>
  <sheetFormatPr defaultRowHeight="12.75"/>
  <cols>
    <col min="1" max="1" width="10.5703125" customWidth="1"/>
    <col min="2" max="2" width="4.5703125" customWidth="1"/>
    <col min="3" max="3" width="48.28515625" customWidth="1"/>
    <col min="4" max="4" width="11.28515625" customWidth="1"/>
    <col min="5" max="5" width="11.42578125" customWidth="1"/>
    <col min="6" max="6" width="11.140625" customWidth="1"/>
    <col min="7" max="7" width="13" customWidth="1"/>
    <col min="8" max="8" width="9" customWidth="1"/>
    <col min="9" max="9" width="10.7109375" customWidth="1"/>
    <col min="10" max="10" width="9.85546875" customWidth="1"/>
    <col min="11" max="11" width="10.7109375" customWidth="1"/>
    <col min="12" max="12" width="9.5703125" customWidth="1"/>
    <col min="13" max="13" width="10.85546875" customWidth="1"/>
    <col min="14" max="14" width="11.28515625" customWidth="1"/>
    <col min="15" max="15" width="10.7109375" customWidth="1"/>
    <col min="16" max="16" width="9.5703125" customWidth="1"/>
    <col min="17" max="17" width="9.42578125" customWidth="1"/>
    <col min="18" max="18" width="9.5703125" customWidth="1"/>
    <col min="20" max="20" width="7.5703125" customWidth="1"/>
  </cols>
  <sheetData>
    <row r="1" spans="2:17" s="5" customFormat="1" ht="12">
      <c r="B1" s="4" t="s">
        <v>264</v>
      </c>
      <c r="C1" s="106" t="str">
        <f>'bev-int'!B1</f>
        <v>melléklet a …/2024. (.  .) önkormányzati rendelethez</v>
      </c>
    </row>
    <row r="2" spans="2:17" s="5" customFormat="1" ht="12">
      <c r="C2" s="1111"/>
      <c r="D2" s="1111"/>
      <c r="E2" s="1111"/>
    </row>
    <row r="3" spans="2:17" s="5" customFormat="1" ht="12">
      <c r="C3" s="1111" t="s">
        <v>794</v>
      </c>
      <c r="D3" s="1111"/>
      <c r="E3" s="1111"/>
      <c r="F3" s="1111"/>
      <c r="G3" s="1111"/>
      <c r="H3" s="1111"/>
      <c r="I3" s="1111"/>
      <c r="J3" s="1111"/>
      <c r="K3" s="1111"/>
      <c r="L3" s="1111"/>
      <c r="M3" s="1111"/>
      <c r="N3" s="1111"/>
      <c r="O3" s="1111"/>
      <c r="P3" s="1111"/>
    </row>
    <row r="4" spans="2:17" s="5" customFormat="1" ht="9" customHeight="1">
      <c r="C4" s="6"/>
    </row>
    <row r="5" spans="2:17" s="5" customFormat="1" ht="12">
      <c r="C5" s="6"/>
      <c r="P5" s="76" t="s">
        <v>641</v>
      </c>
    </row>
    <row r="6" spans="2:17" s="76" customFormat="1" ht="46.5" customHeight="1">
      <c r="B6" s="434" t="s">
        <v>346</v>
      </c>
      <c r="C6" s="435" t="s">
        <v>55</v>
      </c>
      <c r="D6" s="1112" t="s">
        <v>336</v>
      </c>
      <c r="E6" s="1112"/>
      <c r="F6" s="1109" t="s">
        <v>56</v>
      </c>
      <c r="G6" s="1109"/>
      <c r="H6" s="1109" t="s">
        <v>515</v>
      </c>
      <c r="I6" s="1109"/>
      <c r="J6" s="1109" t="s">
        <v>337</v>
      </c>
      <c r="K6" s="1109"/>
      <c r="L6" s="1109" t="s">
        <v>57</v>
      </c>
      <c r="M6" s="1109"/>
      <c r="N6" s="1109" t="s">
        <v>58</v>
      </c>
      <c r="O6" s="1109"/>
      <c r="P6" s="1109" t="s">
        <v>229</v>
      </c>
      <c r="Q6" s="1109"/>
    </row>
    <row r="7" spans="2:17" s="76" customFormat="1" ht="12">
      <c r="B7" s="434"/>
      <c r="C7" s="435"/>
      <c r="D7" s="425" t="s">
        <v>438</v>
      </c>
      <c r="E7" s="425" t="s">
        <v>439</v>
      </c>
      <c r="F7" s="425" t="s">
        <v>438</v>
      </c>
      <c r="G7" s="425" t="s">
        <v>439</v>
      </c>
      <c r="H7" s="425" t="s">
        <v>440</v>
      </c>
      <c r="I7" s="425" t="s">
        <v>441</v>
      </c>
      <c r="J7" s="425" t="s">
        <v>440</v>
      </c>
      <c r="K7" s="425" t="s">
        <v>441</v>
      </c>
      <c r="L7" s="425" t="s">
        <v>440</v>
      </c>
      <c r="M7" s="425" t="s">
        <v>441</v>
      </c>
      <c r="N7" s="425" t="s">
        <v>440</v>
      </c>
      <c r="O7" s="425" t="s">
        <v>441</v>
      </c>
      <c r="P7" s="425" t="s">
        <v>440</v>
      </c>
      <c r="Q7" s="425" t="s">
        <v>441</v>
      </c>
    </row>
    <row r="8" spans="2:17" s="156" customFormat="1" ht="22.5" customHeight="1">
      <c r="B8" s="426" t="s">
        <v>338</v>
      </c>
      <c r="C8" s="427" t="s">
        <v>738</v>
      </c>
      <c r="D8" s="716">
        <f t="shared" ref="D8:E39" si="0">F8+H8+J8+L8+N8+P8</f>
        <v>2000000</v>
      </c>
      <c r="E8" s="716">
        <f t="shared" si="0"/>
        <v>2000000</v>
      </c>
      <c r="F8" s="722">
        <v>2000000</v>
      </c>
      <c r="G8" s="722">
        <v>2000000</v>
      </c>
      <c r="H8" s="707"/>
      <c r="I8" s="707"/>
      <c r="J8" s="718"/>
      <c r="K8" s="718"/>
      <c r="L8" s="718"/>
      <c r="M8" s="718"/>
      <c r="N8" s="718"/>
      <c r="O8" s="718"/>
      <c r="P8" s="718"/>
      <c r="Q8" s="718"/>
    </row>
    <row r="9" spans="2:17" s="156" customFormat="1" ht="18" customHeight="1">
      <c r="B9" s="426" t="s">
        <v>95</v>
      </c>
      <c r="C9" s="427" t="s">
        <v>739</v>
      </c>
      <c r="D9" s="716">
        <f t="shared" si="0"/>
        <v>12700000</v>
      </c>
      <c r="E9" s="716">
        <f t="shared" si="0"/>
        <v>12700000</v>
      </c>
      <c r="F9" s="722">
        <v>12700000</v>
      </c>
      <c r="G9" s="722">
        <v>12700000</v>
      </c>
      <c r="H9" s="707"/>
      <c r="I9" s="707"/>
      <c r="J9" s="718"/>
      <c r="K9" s="718"/>
      <c r="L9" s="718"/>
      <c r="M9" s="718"/>
      <c r="N9" s="718"/>
      <c r="O9" s="718"/>
      <c r="P9" s="718"/>
      <c r="Q9" s="718"/>
    </row>
    <row r="10" spans="2:17" s="156" customFormat="1" ht="24" customHeight="1">
      <c r="B10" s="426" t="s">
        <v>339</v>
      </c>
      <c r="C10" s="427" t="s">
        <v>740</v>
      </c>
      <c r="D10" s="716">
        <f t="shared" si="0"/>
        <v>14000000</v>
      </c>
      <c r="E10" s="716">
        <f t="shared" si="0"/>
        <v>14000000</v>
      </c>
      <c r="F10" s="722">
        <v>14000000</v>
      </c>
      <c r="G10" s="722">
        <v>14000000</v>
      </c>
      <c r="H10" s="707"/>
      <c r="I10" s="707"/>
      <c r="J10" s="718"/>
      <c r="K10" s="718"/>
      <c r="L10" s="718"/>
      <c r="M10" s="718"/>
      <c r="N10" s="718"/>
      <c r="O10" s="718"/>
      <c r="P10" s="718"/>
      <c r="Q10" s="718"/>
    </row>
    <row r="11" spans="2:17" s="156" customFormat="1" ht="12">
      <c r="B11" s="426" t="s">
        <v>96</v>
      </c>
      <c r="C11" s="427" t="s">
        <v>741</v>
      </c>
      <c r="D11" s="716">
        <f t="shared" si="0"/>
        <v>3302000</v>
      </c>
      <c r="E11" s="716">
        <f t="shared" si="0"/>
        <v>3302000</v>
      </c>
      <c r="F11" s="722">
        <v>3302000</v>
      </c>
      <c r="G11" s="722">
        <v>3302000</v>
      </c>
      <c r="H11" s="707"/>
      <c r="I11" s="707"/>
      <c r="J11" s="718"/>
      <c r="K11" s="718"/>
      <c r="L11" s="718"/>
      <c r="M11" s="718"/>
      <c r="N11" s="718"/>
      <c r="O11" s="718"/>
      <c r="P11" s="718"/>
      <c r="Q11" s="718"/>
    </row>
    <row r="12" spans="2:17" s="156" customFormat="1" ht="24.75" customHeight="1">
      <c r="B12" s="426" t="s">
        <v>97</v>
      </c>
      <c r="C12" s="427" t="s">
        <v>742</v>
      </c>
      <c r="D12" s="716">
        <f t="shared" si="0"/>
        <v>1016000</v>
      </c>
      <c r="E12" s="716">
        <f t="shared" si="0"/>
        <v>1016000</v>
      </c>
      <c r="F12" s="722">
        <v>1016000</v>
      </c>
      <c r="G12" s="722">
        <v>1016000</v>
      </c>
      <c r="H12" s="707"/>
      <c r="I12" s="707"/>
      <c r="J12" s="718"/>
      <c r="K12" s="718"/>
      <c r="L12" s="718"/>
      <c r="M12" s="718"/>
      <c r="N12" s="718"/>
      <c r="O12" s="718"/>
      <c r="P12" s="718"/>
      <c r="Q12" s="718"/>
    </row>
    <row r="13" spans="2:17" s="156" customFormat="1" ht="42" customHeight="1">
      <c r="B13" s="426" t="s">
        <v>98</v>
      </c>
      <c r="C13" s="563" t="s">
        <v>743</v>
      </c>
      <c r="D13" s="716">
        <f t="shared" si="0"/>
        <v>153652588</v>
      </c>
      <c r="E13" s="716">
        <f t="shared" si="0"/>
        <v>153652588</v>
      </c>
      <c r="F13" s="722">
        <v>153652588</v>
      </c>
      <c r="G13" s="722">
        <v>153652588</v>
      </c>
      <c r="H13" s="707"/>
      <c r="I13" s="707"/>
      <c r="J13" s="718"/>
      <c r="K13" s="718"/>
      <c r="L13" s="718"/>
      <c r="M13" s="718"/>
      <c r="N13" s="718"/>
      <c r="O13" s="718"/>
      <c r="P13" s="718"/>
      <c r="Q13" s="718"/>
    </row>
    <row r="14" spans="2:17" s="156" customFormat="1" ht="18" customHeight="1">
      <c r="B14" s="426" t="s">
        <v>99</v>
      </c>
      <c r="C14" s="1012" t="s">
        <v>744</v>
      </c>
      <c r="D14" s="716">
        <f t="shared" si="0"/>
        <v>51500000</v>
      </c>
      <c r="E14" s="716">
        <f t="shared" si="0"/>
        <v>51500000</v>
      </c>
      <c r="F14" s="722">
        <v>51500000</v>
      </c>
      <c r="G14" s="722">
        <v>51500000</v>
      </c>
      <c r="H14" s="707"/>
      <c r="I14" s="707"/>
      <c r="J14" s="718"/>
      <c r="K14" s="718"/>
      <c r="L14" s="718"/>
      <c r="M14" s="718"/>
      <c r="N14" s="718"/>
      <c r="O14" s="718"/>
      <c r="P14" s="718"/>
      <c r="Q14" s="718"/>
    </row>
    <row r="15" spans="2:17" s="156" customFormat="1" ht="24" customHeight="1">
      <c r="B15" s="426" t="s">
        <v>320</v>
      </c>
      <c r="C15" s="427" t="s">
        <v>745</v>
      </c>
      <c r="D15" s="716">
        <f t="shared" si="0"/>
        <v>1138137</v>
      </c>
      <c r="E15" s="716">
        <f t="shared" si="0"/>
        <v>1138137</v>
      </c>
      <c r="F15" s="722">
        <v>1138137</v>
      </c>
      <c r="G15" s="722">
        <v>1138137</v>
      </c>
      <c r="H15" s="707"/>
      <c r="I15" s="707"/>
      <c r="J15" s="718"/>
      <c r="K15" s="718"/>
      <c r="L15" s="718"/>
      <c r="M15" s="718"/>
      <c r="N15" s="718"/>
      <c r="O15" s="718"/>
      <c r="P15" s="718"/>
      <c r="Q15" s="718"/>
    </row>
    <row r="16" spans="2:17" s="156" customFormat="1" ht="24" customHeight="1">
      <c r="B16" s="426" t="s">
        <v>100</v>
      </c>
      <c r="C16" s="427" t="s">
        <v>746</v>
      </c>
      <c r="D16" s="716">
        <f t="shared" si="0"/>
        <v>9500000</v>
      </c>
      <c r="E16" s="716">
        <f t="shared" si="0"/>
        <v>9500000</v>
      </c>
      <c r="F16" s="722">
        <v>9500000</v>
      </c>
      <c r="G16" s="722">
        <v>9500000</v>
      </c>
      <c r="H16" s="707"/>
      <c r="I16" s="707"/>
      <c r="J16" s="718"/>
      <c r="K16" s="718"/>
      <c r="L16" s="718"/>
      <c r="M16" s="718"/>
      <c r="N16" s="718"/>
      <c r="O16" s="718"/>
      <c r="P16" s="718"/>
      <c r="Q16" s="718"/>
    </row>
    <row r="17" spans="2:17" s="156" customFormat="1" ht="24" customHeight="1">
      <c r="B17" s="426" t="s">
        <v>321</v>
      </c>
      <c r="C17" s="427" t="s">
        <v>747</v>
      </c>
      <c r="D17" s="716">
        <f t="shared" si="0"/>
        <v>1500000</v>
      </c>
      <c r="E17" s="716">
        <f t="shared" si="0"/>
        <v>1500000</v>
      </c>
      <c r="F17" s="722">
        <v>1500000</v>
      </c>
      <c r="G17" s="722">
        <v>1500000</v>
      </c>
      <c r="H17" s="707"/>
      <c r="I17" s="707"/>
      <c r="J17" s="718"/>
      <c r="K17" s="718"/>
      <c r="L17" s="718"/>
      <c r="M17" s="718"/>
      <c r="N17" s="718"/>
      <c r="O17" s="718"/>
      <c r="P17" s="718"/>
      <c r="Q17" s="718"/>
    </row>
    <row r="18" spans="2:17" s="156" customFormat="1" ht="24" customHeight="1">
      <c r="B18" s="426" t="s">
        <v>101</v>
      </c>
      <c r="C18" s="427" t="s">
        <v>748</v>
      </c>
      <c r="D18" s="716">
        <f t="shared" si="0"/>
        <v>1200000</v>
      </c>
      <c r="E18" s="716">
        <f t="shared" si="0"/>
        <v>1200000</v>
      </c>
      <c r="F18" s="722">
        <v>1200000</v>
      </c>
      <c r="G18" s="722">
        <v>1200000</v>
      </c>
      <c r="H18" s="707"/>
      <c r="I18" s="707"/>
      <c r="J18" s="718"/>
      <c r="K18" s="718"/>
      <c r="L18" s="718"/>
      <c r="M18" s="718"/>
      <c r="N18" s="718"/>
      <c r="O18" s="718"/>
      <c r="P18" s="718"/>
      <c r="Q18" s="718"/>
    </row>
    <row r="19" spans="2:17" s="156" customFormat="1" ht="24" customHeight="1">
      <c r="B19" s="426" t="s">
        <v>102</v>
      </c>
      <c r="C19" s="427" t="s">
        <v>749</v>
      </c>
      <c r="D19" s="716">
        <f t="shared" si="0"/>
        <v>1500000</v>
      </c>
      <c r="E19" s="716">
        <f t="shared" si="0"/>
        <v>1500000</v>
      </c>
      <c r="F19" s="722">
        <v>1500000</v>
      </c>
      <c r="G19" s="722">
        <v>1500000</v>
      </c>
      <c r="H19" s="707"/>
      <c r="I19" s="707"/>
      <c r="J19" s="718"/>
      <c r="K19" s="718"/>
      <c r="L19" s="718"/>
      <c r="M19" s="718"/>
      <c r="N19" s="718"/>
      <c r="O19" s="718"/>
      <c r="P19" s="718"/>
      <c r="Q19" s="718"/>
    </row>
    <row r="20" spans="2:17" s="156" customFormat="1" ht="24" customHeight="1">
      <c r="B20" s="426" t="s">
        <v>103</v>
      </c>
      <c r="C20" s="427" t="s">
        <v>750</v>
      </c>
      <c r="D20" s="716">
        <f t="shared" si="0"/>
        <v>2500000</v>
      </c>
      <c r="E20" s="716">
        <f t="shared" si="0"/>
        <v>2500000</v>
      </c>
      <c r="F20" s="722">
        <v>2500000</v>
      </c>
      <c r="G20" s="722">
        <v>2500000</v>
      </c>
      <c r="H20" s="707"/>
      <c r="I20" s="707"/>
      <c r="J20" s="718"/>
      <c r="K20" s="718"/>
      <c r="L20" s="718"/>
      <c r="M20" s="718"/>
      <c r="N20" s="718"/>
      <c r="O20" s="718"/>
      <c r="P20" s="718"/>
      <c r="Q20" s="718"/>
    </row>
    <row r="21" spans="2:17" s="156" customFormat="1" ht="24" customHeight="1">
      <c r="B21" s="426" t="s">
        <v>322</v>
      </c>
      <c r="C21" s="427" t="s">
        <v>751</v>
      </c>
      <c r="D21" s="716">
        <f t="shared" si="0"/>
        <v>2500000</v>
      </c>
      <c r="E21" s="716">
        <f t="shared" si="0"/>
        <v>2500000</v>
      </c>
      <c r="F21" s="722">
        <v>2500000</v>
      </c>
      <c r="G21" s="722">
        <v>2500000</v>
      </c>
      <c r="H21" s="707"/>
      <c r="I21" s="707"/>
      <c r="J21" s="718"/>
      <c r="K21" s="718"/>
      <c r="L21" s="718"/>
      <c r="M21" s="718"/>
      <c r="N21" s="718"/>
      <c r="O21" s="718"/>
      <c r="P21" s="718"/>
      <c r="Q21" s="718"/>
    </row>
    <row r="22" spans="2:17" s="156" customFormat="1" ht="24" customHeight="1">
      <c r="B22" s="426" t="s">
        <v>340</v>
      </c>
      <c r="C22" s="427" t="s">
        <v>752</v>
      </c>
      <c r="D22" s="716">
        <f t="shared" si="0"/>
        <v>5000000</v>
      </c>
      <c r="E22" s="716">
        <f t="shared" si="0"/>
        <v>5000000</v>
      </c>
      <c r="F22" s="722">
        <v>5000000</v>
      </c>
      <c r="G22" s="722">
        <v>5000000</v>
      </c>
      <c r="H22" s="707"/>
      <c r="I22" s="707"/>
      <c r="J22" s="718"/>
      <c r="K22" s="718"/>
      <c r="L22" s="718"/>
      <c r="M22" s="718"/>
      <c r="N22" s="718"/>
      <c r="O22" s="718"/>
      <c r="P22" s="718"/>
      <c r="Q22" s="718"/>
    </row>
    <row r="23" spans="2:17" s="156" customFormat="1" ht="24" customHeight="1">
      <c r="B23" s="426" t="s">
        <v>323</v>
      </c>
      <c r="C23" s="427" t="s">
        <v>753</v>
      </c>
      <c r="D23" s="716">
        <f t="shared" si="0"/>
        <v>20000000</v>
      </c>
      <c r="E23" s="716">
        <f t="shared" si="0"/>
        <v>20000000</v>
      </c>
      <c r="F23" s="722">
        <v>20000000</v>
      </c>
      <c r="G23" s="722">
        <v>20000000</v>
      </c>
      <c r="H23" s="707"/>
      <c r="I23" s="707"/>
      <c r="J23" s="718"/>
      <c r="K23" s="718"/>
      <c r="L23" s="718"/>
      <c r="M23" s="718"/>
      <c r="N23" s="718"/>
      <c r="O23" s="718"/>
      <c r="P23" s="718"/>
      <c r="Q23" s="718"/>
    </row>
    <row r="24" spans="2:17" s="156" customFormat="1" ht="24" customHeight="1">
      <c r="B24" s="426" t="s">
        <v>130</v>
      </c>
      <c r="C24" s="427" t="s">
        <v>754</v>
      </c>
      <c r="D24" s="716">
        <f t="shared" si="0"/>
        <v>2540000</v>
      </c>
      <c r="E24" s="716">
        <f t="shared" si="0"/>
        <v>2540000</v>
      </c>
      <c r="F24" s="722">
        <v>2540000</v>
      </c>
      <c r="G24" s="722">
        <v>2540000</v>
      </c>
      <c r="H24" s="707"/>
      <c r="I24" s="707"/>
      <c r="J24" s="718"/>
      <c r="K24" s="718"/>
      <c r="L24" s="718"/>
      <c r="M24" s="718"/>
      <c r="N24" s="718"/>
      <c r="O24" s="718"/>
      <c r="P24" s="718"/>
      <c r="Q24" s="718"/>
    </row>
    <row r="25" spans="2:17" s="156" customFormat="1" ht="24" customHeight="1">
      <c r="B25" s="426" t="s">
        <v>131</v>
      </c>
      <c r="C25" s="427" t="s">
        <v>755</v>
      </c>
      <c r="D25" s="716">
        <f t="shared" si="0"/>
        <v>1905000</v>
      </c>
      <c r="E25" s="716">
        <f t="shared" si="0"/>
        <v>1905000</v>
      </c>
      <c r="F25" s="722">
        <v>1905000</v>
      </c>
      <c r="G25" s="722">
        <v>1905000</v>
      </c>
      <c r="H25" s="707"/>
      <c r="I25" s="707"/>
      <c r="J25" s="718"/>
      <c r="K25" s="718"/>
      <c r="L25" s="718"/>
      <c r="M25" s="718"/>
      <c r="N25" s="718"/>
      <c r="O25" s="718"/>
      <c r="P25" s="718"/>
      <c r="Q25" s="718"/>
    </row>
    <row r="26" spans="2:17" s="156" customFormat="1" ht="24" customHeight="1">
      <c r="B26" s="426" t="s">
        <v>132</v>
      </c>
      <c r="C26" s="427" t="s">
        <v>865</v>
      </c>
      <c r="D26" s="716">
        <f t="shared" si="0"/>
        <v>177542247</v>
      </c>
      <c r="E26" s="716">
        <f t="shared" si="0"/>
        <v>153846341</v>
      </c>
      <c r="F26" s="722">
        <v>177542247</v>
      </c>
      <c r="G26" s="722">
        <f>177542247-101600+7415467-31009773</f>
        <v>153846341</v>
      </c>
      <c r="H26" s="707"/>
      <c r="I26" s="707"/>
      <c r="J26" s="718"/>
      <c r="K26" s="718"/>
      <c r="L26" s="718"/>
      <c r="M26" s="718"/>
      <c r="N26" s="718"/>
      <c r="O26" s="718"/>
      <c r="P26" s="718"/>
      <c r="Q26" s="718"/>
    </row>
    <row r="27" spans="2:17" s="156" customFormat="1" ht="24" customHeight="1">
      <c r="B27" s="426" t="s">
        <v>341</v>
      </c>
      <c r="C27" s="427" t="s">
        <v>756</v>
      </c>
      <c r="D27" s="716">
        <f t="shared" si="0"/>
        <v>314960630</v>
      </c>
      <c r="E27" s="716">
        <f t="shared" si="0"/>
        <v>314960630</v>
      </c>
      <c r="F27" s="722">
        <v>314960630</v>
      </c>
      <c r="G27" s="722">
        <v>314960630</v>
      </c>
      <c r="H27" s="707"/>
      <c r="I27" s="707"/>
      <c r="J27" s="718"/>
      <c r="K27" s="718"/>
      <c r="L27" s="718"/>
      <c r="M27" s="718"/>
      <c r="N27" s="718"/>
      <c r="O27" s="718"/>
      <c r="P27" s="718"/>
      <c r="Q27" s="718"/>
    </row>
    <row r="28" spans="2:17" s="156" customFormat="1" ht="24" customHeight="1">
      <c r="B28" s="426" t="s">
        <v>342</v>
      </c>
      <c r="C28" s="427" t="s">
        <v>757</v>
      </c>
      <c r="D28" s="716">
        <f t="shared" si="0"/>
        <v>1576900000</v>
      </c>
      <c r="E28" s="716">
        <f t="shared" si="0"/>
        <v>1576900000</v>
      </c>
      <c r="F28" s="722">
        <v>1576900000</v>
      </c>
      <c r="G28" s="722">
        <v>1576900000</v>
      </c>
      <c r="H28" s="707"/>
      <c r="I28" s="707"/>
      <c r="J28" s="718"/>
      <c r="K28" s="718"/>
      <c r="L28" s="718"/>
      <c r="M28" s="718"/>
      <c r="N28" s="718"/>
      <c r="O28" s="718"/>
      <c r="P28" s="718"/>
      <c r="Q28" s="718"/>
    </row>
    <row r="29" spans="2:17" s="156" customFormat="1" ht="24" customHeight="1">
      <c r="B29" s="426" t="s">
        <v>343</v>
      </c>
      <c r="C29" s="427" t="s">
        <v>758</v>
      </c>
      <c r="D29" s="716">
        <f t="shared" si="0"/>
        <v>788803858</v>
      </c>
      <c r="E29" s="716">
        <f t="shared" si="0"/>
        <v>775993858</v>
      </c>
      <c r="F29" s="722">
        <v>788803858</v>
      </c>
      <c r="G29" s="722">
        <f>788803858-12810000</f>
        <v>775993858</v>
      </c>
      <c r="H29" s="707"/>
      <c r="I29" s="707"/>
      <c r="J29" s="718"/>
      <c r="K29" s="718"/>
      <c r="L29" s="718"/>
      <c r="M29" s="718"/>
      <c r="N29" s="718"/>
      <c r="O29" s="718"/>
      <c r="P29" s="718"/>
      <c r="Q29" s="718"/>
    </row>
    <row r="30" spans="2:17" s="156" customFormat="1" ht="24" customHeight="1">
      <c r="B30" s="426" t="s">
        <v>344</v>
      </c>
      <c r="C30" s="427" t="s">
        <v>759</v>
      </c>
      <c r="D30" s="716">
        <f t="shared" si="0"/>
        <v>10000000</v>
      </c>
      <c r="E30" s="716">
        <f t="shared" si="0"/>
        <v>10000000</v>
      </c>
      <c r="F30" s="722">
        <v>10000000</v>
      </c>
      <c r="G30" s="722">
        <v>10000000</v>
      </c>
      <c r="H30" s="707"/>
      <c r="I30" s="707"/>
      <c r="J30" s="718"/>
      <c r="K30" s="718"/>
      <c r="L30" s="718"/>
      <c r="M30" s="718"/>
      <c r="N30" s="718"/>
      <c r="O30" s="718"/>
      <c r="P30" s="718"/>
      <c r="Q30" s="718"/>
    </row>
    <row r="31" spans="2:17" s="156" customFormat="1" ht="24" customHeight="1">
      <c r="B31" s="426" t="s">
        <v>345</v>
      </c>
      <c r="C31" s="427" t="s">
        <v>760</v>
      </c>
      <c r="D31" s="716">
        <f t="shared" si="0"/>
        <v>149484600</v>
      </c>
      <c r="E31" s="716">
        <f t="shared" si="0"/>
        <v>143877400</v>
      </c>
      <c r="F31" s="722">
        <v>149484600</v>
      </c>
      <c r="G31" s="722">
        <f>149484600-5607200</f>
        <v>143877400</v>
      </c>
      <c r="H31" s="707"/>
      <c r="I31" s="707"/>
      <c r="J31" s="718"/>
      <c r="K31" s="718"/>
      <c r="L31" s="718"/>
      <c r="M31" s="718"/>
      <c r="N31" s="718"/>
      <c r="O31" s="718"/>
      <c r="P31" s="718"/>
      <c r="Q31" s="718"/>
    </row>
    <row r="32" spans="2:17" s="156" customFormat="1" ht="24" customHeight="1">
      <c r="B32" s="426" t="s">
        <v>647</v>
      </c>
      <c r="C32" s="427" t="s">
        <v>761</v>
      </c>
      <c r="D32" s="716">
        <f t="shared" si="0"/>
        <v>76261683</v>
      </c>
      <c r="E32" s="716">
        <f t="shared" si="0"/>
        <v>76261683</v>
      </c>
      <c r="F32" s="722">
        <v>76261683</v>
      </c>
      <c r="G32" s="722">
        <v>76261683</v>
      </c>
      <c r="H32" s="707"/>
      <c r="I32" s="707"/>
      <c r="J32" s="718"/>
      <c r="K32" s="718"/>
      <c r="L32" s="718"/>
      <c r="M32" s="718"/>
      <c r="N32" s="718"/>
      <c r="O32" s="718"/>
      <c r="P32" s="718"/>
      <c r="Q32" s="718"/>
    </row>
    <row r="33" spans="2:17" s="156" customFormat="1" ht="24" customHeight="1">
      <c r="B33" s="426" t="s">
        <v>648</v>
      </c>
      <c r="C33" s="427" t="s">
        <v>762</v>
      </c>
      <c r="D33" s="716">
        <f t="shared" si="0"/>
        <v>19050000</v>
      </c>
      <c r="E33" s="716">
        <f t="shared" si="0"/>
        <v>17525695</v>
      </c>
      <c r="F33" s="722">
        <v>19050000</v>
      </c>
      <c r="G33" s="722">
        <f>19050000-1200240-324065</f>
        <v>17525695</v>
      </c>
      <c r="H33" s="707"/>
      <c r="I33" s="707"/>
      <c r="J33" s="718"/>
      <c r="K33" s="718"/>
      <c r="L33" s="718"/>
      <c r="M33" s="718"/>
      <c r="N33" s="718"/>
      <c r="O33" s="718"/>
      <c r="P33" s="718"/>
      <c r="Q33" s="718"/>
    </row>
    <row r="34" spans="2:17" s="156" customFormat="1" ht="24" customHeight="1">
      <c r="B34" s="426" t="s">
        <v>649</v>
      </c>
      <c r="C34" s="427" t="s">
        <v>763</v>
      </c>
      <c r="D34" s="716">
        <f t="shared" si="0"/>
        <v>2466435</v>
      </c>
      <c r="E34" s="716">
        <f t="shared" si="0"/>
        <v>0</v>
      </c>
      <c r="F34" s="722">
        <v>2466435</v>
      </c>
      <c r="G34" s="722">
        <v>0</v>
      </c>
      <c r="H34" s="707"/>
      <c r="I34" s="707"/>
      <c r="J34" s="718"/>
      <c r="K34" s="718"/>
      <c r="L34" s="718"/>
      <c r="M34" s="718"/>
      <c r="N34" s="718"/>
      <c r="O34" s="718"/>
      <c r="P34" s="718"/>
      <c r="Q34" s="718"/>
    </row>
    <row r="35" spans="2:17" s="156" customFormat="1" ht="24" customHeight="1">
      <c r="B35" s="426" t="s">
        <v>356</v>
      </c>
      <c r="C35" s="427" t="s">
        <v>764</v>
      </c>
      <c r="D35" s="716">
        <f t="shared" si="0"/>
        <v>1000001</v>
      </c>
      <c r="E35" s="716">
        <f t="shared" si="0"/>
        <v>1000001</v>
      </c>
      <c r="F35" s="722">
        <v>1000001</v>
      </c>
      <c r="G35" s="722">
        <v>1000001</v>
      </c>
      <c r="H35" s="707"/>
      <c r="I35" s="707"/>
      <c r="J35" s="718"/>
      <c r="K35" s="718"/>
      <c r="L35" s="718"/>
      <c r="M35" s="718"/>
      <c r="N35" s="718"/>
      <c r="O35" s="718"/>
      <c r="P35" s="718"/>
      <c r="Q35" s="718"/>
    </row>
    <row r="36" spans="2:17" s="156" customFormat="1" ht="24" customHeight="1">
      <c r="B36" s="426" t="s">
        <v>444</v>
      </c>
      <c r="C36" s="495" t="s">
        <v>715</v>
      </c>
      <c r="D36" s="716">
        <f t="shared" si="0"/>
        <v>949999</v>
      </c>
      <c r="E36" s="716">
        <f t="shared" si="0"/>
        <v>949999</v>
      </c>
      <c r="F36" s="722"/>
      <c r="G36" s="722"/>
      <c r="H36" s="707"/>
      <c r="I36" s="707"/>
      <c r="J36" s="718">
        <v>949999</v>
      </c>
      <c r="K36" s="718">
        <v>949999</v>
      </c>
      <c r="L36" s="718"/>
      <c r="M36" s="718"/>
      <c r="N36" s="718"/>
      <c r="O36" s="718"/>
      <c r="P36" s="718"/>
      <c r="Q36" s="718"/>
    </row>
    <row r="37" spans="2:17" s="156" customFormat="1" ht="22.5" customHeight="1">
      <c r="B37" s="426" t="s">
        <v>650</v>
      </c>
      <c r="C37" s="156" t="s">
        <v>866</v>
      </c>
      <c r="D37" s="716">
        <f t="shared" si="0"/>
        <v>0</v>
      </c>
      <c r="E37" s="716">
        <f t="shared" si="0"/>
        <v>55675</v>
      </c>
      <c r="F37" s="717"/>
      <c r="G37" s="722">
        <f>43838+11837</f>
        <v>55675</v>
      </c>
      <c r="H37" s="707"/>
      <c r="I37" s="707"/>
      <c r="J37" s="718"/>
      <c r="K37" s="718"/>
      <c r="L37" s="718"/>
      <c r="M37" s="718"/>
      <c r="N37" s="718"/>
      <c r="O37" s="718"/>
      <c r="P37" s="718"/>
      <c r="Q37" s="718"/>
    </row>
    <row r="38" spans="2:17" s="156" customFormat="1" ht="24" customHeight="1">
      <c r="B38" s="426" t="s">
        <v>651</v>
      </c>
      <c r="C38" s="427" t="s">
        <v>870</v>
      </c>
      <c r="D38" s="716">
        <f t="shared" si="0"/>
        <v>0</v>
      </c>
      <c r="E38" s="716">
        <f t="shared" si="0"/>
        <v>51753</v>
      </c>
      <c r="F38" s="717"/>
      <c r="G38" s="717"/>
      <c r="H38" s="707"/>
      <c r="I38" s="707"/>
      <c r="J38" s="718"/>
      <c r="K38" s="718"/>
      <c r="L38" s="718"/>
      <c r="M38" s="718"/>
      <c r="N38" s="718"/>
      <c r="O38" s="718"/>
      <c r="P38" s="718"/>
      <c r="Q38" s="718">
        <v>51753</v>
      </c>
    </row>
    <row r="39" spans="2:17" s="156" customFormat="1" ht="18" customHeight="1">
      <c r="B39" s="426"/>
      <c r="C39" s="436"/>
      <c r="D39" s="716">
        <f t="shared" si="0"/>
        <v>0</v>
      </c>
      <c r="E39" s="716">
        <f t="shared" si="0"/>
        <v>0</v>
      </c>
      <c r="F39" s="707"/>
      <c r="G39" s="707"/>
      <c r="H39" s="707"/>
      <c r="I39" s="707"/>
      <c r="J39" s="718"/>
      <c r="K39" s="718"/>
      <c r="L39" s="718"/>
      <c r="M39" s="718"/>
      <c r="N39" s="718"/>
      <c r="O39" s="718"/>
      <c r="P39" s="718"/>
      <c r="Q39" s="718"/>
    </row>
    <row r="40" spans="2:17" s="156" customFormat="1" ht="18" customHeight="1">
      <c r="B40" s="437"/>
      <c r="C40" s="438" t="s">
        <v>336</v>
      </c>
      <c r="D40" s="719">
        <f>F40+H40+J40+L40+N40+P40</f>
        <v>3404873178</v>
      </c>
      <c r="E40" s="719">
        <f>G40+I40+K40+M40+O40+Q40</f>
        <v>3358876760</v>
      </c>
      <c r="F40" s="720">
        <f t="shared" ref="F40:Q40" si="1">SUM(F8:F39)</f>
        <v>3403923179</v>
      </c>
      <c r="G40" s="720">
        <f t="shared" si="1"/>
        <v>3357875008</v>
      </c>
      <c r="H40" s="721">
        <f t="shared" si="1"/>
        <v>0</v>
      </c>
      <c r="I40" s="721">
        <f t="shared" si="1"/>
        <v>0</v>
      </c>
      <c r="J40" s="721">
        <f t="shared" si="1"/>
        <v>949999</v>
      </c>
      <c r="K40" s="721">
        <f t="shared" si="1"/>
        <v>949999</v>
      </c>
      <c r="L40" s="721">
        <f t="shared" si="1"/>
        <v>0</v>
      </c>
      <c r="M40" s="721">
        <f t="shared" si="1"/>
        <v>0</v>
      </c>
      <c r="N40" s="721">
        <f t="shared" si="1"/>
        <v>0</v>
      </c>
      <c r="O40" s="721">
        <f t="shared" si="1"/>
        <v>0</v>
      </c>
      <c r="P40" s="721">
        <f t="shared" si="1"/>
        <v>0</v>
      </c>
      <c r="Q40" s="721">
        <f t="shared" si="1"/>
        <v>51753</v>
      </c>
    </row>
    <row r="41" spans="2:17" s="76" customFormat="1" ht="18" customHeight="1">
      <c r="C41" s="107"/>
      <c r="D41" s="107"/>
      <c r="E41" s="107"/>
      <c r="F41" s="107"/>
      <c r="G41" s="107"/>
      <c r="H41" s="107"/>
      <c r="I41" s="107"/>
    </row>
    <row r="42" spans="2:17" s="5" customFormat="1" ht="18" customHeight="1">
      <c r="C42" s="107"/>
      <c r="D42" s="107"/>
      <c r="E42" s="107"/>
      <c r="G42" s="177"/>
    </row>
    <row r="43" spans="2:17" s="5" customFormat="1" ht="18" customHeight="1">
      <c r="C43" s="107"/>
      <c r="D43" s="107"/>
      <c r="E43" s="107"/>
    </row>
    <row r="44" spans="2:17" s="5" customFormat="1" ht="18" customHeight="1">
      <c r="C44" s="107"/>
      <c r="D44" s="107"/>
      <c r="E44" s="479"/>
      <c r="G44" s="177"/>
    </row>
    <row r="45" spans="2:17" s="5" customFormat="1" ht="18" customHeight="1">
      <c r="C45" s="107"/>
      <c r="D45" s="107"/>
      <c r="E45" s="107"/>
    </row>
    <row r="46" spans="2:17" s="5" customFormat="1" ht="18" customHeight="1">
      <c r="C46" s="107"/>
      <c r="D46" s="107"/>
      <c r="E46" s="107"/>
    </row>
    <row r="47" spans="2:17" s="5" customFormat="1" ht="18" customHeight="1">
      <c r="C47" s="76"/>
      <c r="D47" s="76"/>
      <c r="E47" s="76"/>
    </row>
    <row r="48" spans="2:17" s="5" customFormat="1" ht="18" customHeight="1">
      <c r="C48" s="76"/>
      <c r="D48" s="76"/>
      <c r="E48" s="76"/>
    </row>
    <row r="49" spans="3:5" s="5" customFormat="1" ht="18" customHeight="1">
      <c r="C49" s="76"/>
      <c r="D49" s="76"/>
      <c r="E49" s="76"/>
    </row>
    <row r="50" spans="3:5" s="5" customFormat="1" ht="18" customHeight="1">
      <c r="C50" s="76"/>
      <c r="D50" s="76"/>
      <c r="E50" s="76"/>
    </row>
    <row r="51" spans="3:5" s="5" customFormat="1" ht="18" customHeight="1">
      <c r="C51" s="76"/>
      <c r="D51" s="76"/>
      <c r="E51" s="76"/>
    </row>
    <row r="52" spans="3:5" s="5" customFormat="1" ht="18" customHeight="1">
      <c r="C52" s="76"/>
      <c r="D52" s="76"/>
      <c r="E52" s="76"/>
    </row>
    <row r="53" spans="3:5" s="5" customFormat="1" ht="18" customHeight="1">
      <c r="C53" s="76"/>
      <c r="D53" s="76"/>
      <c r="E53" s="76"/>
    </row>
    <row r="54" spans="3:5" s="5" customFormat="1" ht="18" customHeight="1">
      <c r="C54" s="76"/>
      <c r="D54" s="76"/>
      <c r="E54" s="76"/>
    </row>
    <row r="55" spans="3:5" s="5" customFormat="1" ht="18" customHeight="1">
      <c r="C55" s="76"/>
      <c r="D55" s="76"/>
      <c r="E55" s="76"/>
    </row>
    <row r="56" spans="3:5" s="5" customFormat="1" ht="18" customHeight="1">
      <c r="C56" s="76"/>
      <c r="D56" s="76"/>
      <c r="E56" s="76"/>
    </row>
    <row r="57" spans="3:5" s="5" customFormat="1" ht="18" customHeight="1">
      <c r="C57" s="76"/>
      <c r="D57" s="76"/>
      <c r="E57" s="76"/>
    </row>
    <row r="58" spans="3:5" s="5" customFormat="1" ht="18" customHeight="1">
      <c r="C58" s="76"/>
      <c r="D58" s="76"/>
      <c r="E58" s="76"/>
    </row>
    <row r="59" spans="3:5" s="5" customFormat="1" ht="18" customHeight="1">
      <c r="C59" s="76"/>
      <c r="D59" s="76"/>
      <c r="E59" s="76"/>
    </row>
    <row r="60" spans="3:5" s="5" customFormat="1" ht="18" customHeight="1">
      <c r="C60" s="76"/>
      <c r="D60" s="76"/>
      <c r="E60" s="76"/>
    </row>
    <row r="61" spans="3:5" s="5" customFormat="1" ht="18" customHeight="1">
      <c r="C61" s="76"/>
      <c r="D61" s="76"/>
      <c r="E61" s="76"/>
    </row>
    <row r="62" spans="3:5" s="5" customFormat="1" ht="18" customHeight="1">
      <c r="C62" s="76"/>
      <c r="D62" s="76"/>
      <c r="E62" s="76"/>
    </row>
    <row r="63" spans="3:5" s="5" customFormat="1" ht="20.100000000000001" customHeight="1">
      <c r="C63" s="76"/>
      <c r="D63" s="76"/>
      <c r="E63" s="76"/>
    </row>
    <row r="64" spans="3:5" s="5" customFormat="1" ht="20.100000000000001" customHeight="1">
      <c r="C64" s="76"/>
      <c r="D64" s="76"/>
      <c r="E64" s="76"/>
    </row>
    <row r="65" spans="3:5" s="5" customFormat="1" ht="20.100000000000001" customHeight="1">
      <c r="C65" s="76"/>
      <c r="D65" s="76"/>
      <c r="E65" s="76"/>
    </row>
    <row r="66" spans="3:5" s="5" customFormat="1" ht="20.100000000000001" customHeight="1">
      <c r="C66" s="76"/>
      <c r="D66" s="76"/>
      <c r="E66" s="76"/>
    </row>
    <row r="67" spans="3:5" s="5" customFormat="1" ht="20.100000000000001" customHeight="1">
      <c r="C67" s="76"/>
      <c r="D67" s="76"/>
      <c r="E67" s="76"/>
    </row>
    <row r="68" spans="3:5" s="5" customFormat="1" ht="20.100000000000001" customHeight="1">
      <c r="C68" s="76"/>
      <c r="D68" s="76"/>
      <c r="E68" s="76"/>
    </row>
    <row r="69" spans="3:5" s="5" customFormat="1" ht="20.100000000000001" customHeight="1">
      <c r="C69" s="76"/>
      <c r="D69" s="76"/>
      <c r="E69" s="76"/>
    </row>
    <row r="70" spans="3:5" s="5" customFormat="1" ht="20.100000000000001" customHeight="1">
      <c r="C70" s="76"/>
      <c r="D70" s="76"/>
      <c r="E70" s="76"/>
    </row>
    <row r="71" spans="3:5" s="5" customFormat="1" ht="20.100000000000001" customHeight="1">
      <c r="C71" s="76"/>
      <c r="D71" s="76"/>
      <c r="E71" s="76"/>
    </row>
    <row r="72" spans="3:5" s="5" customFormat="1" ht="12">
      <c r="C72" s="76"/>
      <c r="D72" s="76"/>
      <c r="E72" s="76"/>
    </row>
    <row r="73" spans="3:5" s="5" customFormat="1" ht="12">
      <c r="C73" s="76"/>
      <c r="D73" s="76"/>
      <c r="E73" s="76"/>
    </row>
  </sheetData>
  <mergeCells count="9">
    <mergeCell ref="J6:K6"/>
    <mergeCell ref="L6:M6"/>
    <mergeCell ref="N6:O6"/>
    <mergeCell ref="P6:Q6"/>
    <mergeCell ref="C2:E2"/>
    <mergeCell ref="D6:E6"/>
    <mergeCell ref="F6:G6"/>
    <mergeCell ref="H6:I6"/>
    <mergeCell ref="C3:P3"/>
  </mergeCells>
  <phoneticPr fontId="1" type="noConversion"/>
  <pageMargins left="0.15748031496062992" right="0.15748031496062992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87DA-52E9-4353-A766-B82DEA3C290D}">
  <sheetPr>
    <pageSetUpPr fitToPage="1"/>
  </sheetPr>
  <dimension ref="A1:I18"/>
  <sheetViews>
    <sheetView workbookViewId="0">
      <selection activeCell="A18" sqref="A18:IV18"/>
    </sheetView>
  </sheetViews>
  <sheetFormatPr defaultRowHeight="12.75"/>
  <cols>
    <col min="1" max="1" width="52.42578125" style="13" customWidth="1"/>
    <col min="2" max="2" width="53" style="13" customWidth="1"/>
    <col min="3" max="3" width="16.42578125" style="13" customWidth="1"/>
    <col min="4" max="4" width="16.42578125" style="13" hidden="1" customWidth="1"/>
    <col min="5" max="5" width="16" style="13" hidden="1" customWidth="1"/>
    <col min="6" max="6" width="14.42578125" style="13" bestFit="1" customWidth="1"/>
    <col min="7" max="7" width="18.140625" style="13" customWidth="1"/>
    <col min="8" max="8" width="11.28515625" style="13" customWidth="1"/>
    <col min="9" max="16384" width="9.140625" style="13"/>
  </cols>
  <sheetData>
    <row r="1" spans="1:8">
      <c r="A1" s="12"/>
      <c r="B1" s="186" t="s">
        <v>96</v>
      </c>
      <c r="C1" s="13" t="str">
        <f>'bev-int'!B1</f>
        <v>melléklet a …/2024. (.  .) önkormányzati rendelethez</v>
      </c>
    </row>
    <row r="3" spans="1:8">
      <c r="A3" s="1089" t="s">
        <v>373</v>
      </c>
      <c r="B3" s="1089"/>
      <c r="C3" s="1089"/>
      <c r="D3" s="1089"/>
      <c r="E3" s="1089"/>
      <c r="F3" s="1089"/>
    </row>
    <row r="4" spans="1:8">
      <c r="A4" s="1089" t="s">
        <v>455</v>
      </c>
      <c r="B4" s="1089"/>
      <c r="C4" s="1089"/>
      <c r="D4" s="1089"/>
      <c r="E4" s="1089"/>
      <c r="F4" s="1089"/>
    </row>
    <row r="5" spans="1:8">
      <c r="A5" s="93"/>
      <c r="B5" s="93"/>
      <c r="C5" s="93"/>
      <c r="D5" s="93"/>
      <c r="E5" s="93"/>
      <c r="F5" s="93"/>
    </row>
    <row r="6" spans="1:8">
      <c r="E6" s="12"/>
      <c r="F6" s="186" t="s">
        <v>310</v>
      </c>
    </row>
    <row r="7" spans="1:8" s="91" customFormat="1" ht="38.25">
      <c r="A7" s="185" t="s">
        <v>370</v>
      </c>
      <c r="B7" s="185" t="s">
        <v>371</v>
      </c>
      <c r="C7" s="185" t="s">
        <v>372</v>
      </c>
      <c r="D7" s="185" t="s">
        <v>545</v>
      </c>
      <c r="E7" s="185" t="s">
        <v>546</v>
      </c>
      <c r="F7" s="185" t="s">
        <v>467</v>
      </c>
      <c r="G7" s="501" t="s">
        <v>543</v>
      </c>
      <c r="H7" s="501" t="s">
        <v>544</v>
      </c>
    </row>
    <row r="8" spans="1:8" s="187" customFormat="1" ht="25.5">
      <c r="A8" s="159" t="s">
        <v>839</v>
      </c>
      <c r="B8" s="441" t="s">
        <v>836</v>
      </c>
      <c r="C8" s="300" t="s">
        <v>454</v>
      </c>
      <c r="D8" s="221" t="s">
        <v>670</v>
      </c>
      <c r="E8" s="221">
        <v>0</v>
      </c>
      <c r="F8" s="221">
        <v>189088785</v>
      </c>
      <c r="G8" s="407">
        <v>1546538</v>
      </c>
      <c r="H8" s="407">
        <v>181750197</v>
      </c>
    </row>
    <row r="9" spans="1:8" s="187" customFormat="1" ht="25.5">
      <c r="A9" s="188" t="s">
        <v>835</v>
      </c>
      <c r="B9" s="441" t="s">
        <v>837</v>
      </c>
      <c r="C9" s="300" t="s">
        <v>454</v>
      </c>
      <c r="D9" s="222"/>
      <c r="E9" s="222"/>
      <c r="F9" s="222">
        <v>228785046</v>
      </c>
      <c r="G9" s="407"/>
      <c r="H9" s="407">
        <v>228785046</v>
      </c>
    </row>
    <row r="10" spans="1:8" s="187" customFormat="1" ht="27" customHeight="1">
      <c r="A10" s="188" t="s">
        <v>833</v>
      </c>
      <c r="B10" s="441" t="s">
        <v>838</v>
      </c>
      <c r="C10" s="300" t="s">
        <v>454</v>
      </c>
      <c r="D10" s="222"/>
      <c r="E10" s="222"/>
      <c r="F10" s="222">
        <v>149992600</v>
      </c>
      <c r="G10" s="407"/>
      <c r="H10" s="407">
        <v>149992600</v>
      </c>
    </row>
    <row r="11" spans="1:8" s="187" customFormat="1" hidden="1">
      <c r="A11" s="300"/>
      <c r="B11" s="301"/>
      <c r="C11" s="300"/>
      <c r="D11" s="445"/>
      <c r="E11" s="445"/>
      <c r="F11" s="445"/>
      <c r="G11" s="407"/>
      <c r="H11" s="407"/>
    </row>
    <row r="12" spans="1:8" s="187" customFormat="1" ht="38.25">
      <c r="A12" s="300" t="s">
        <v>639</v>
      </c>
      <c r="B12" s="300" t="s">
        <v>840</v>
      </c>
      <c r="C12" s="300" t="s">
        <v>669</v>
      </c>
      <c r="D12" s="302"/>
      <c r="E12" s="445">
        <v>0</v>
      </c>
      <c r="F12" s="445">
        <v>189407050</v>
      </c>
      <c r="G12" s="407">
        <v>9950000</v>
      </c>
      <c r="H12" s="407">
        <v>254064694</v>
      </c>
    </row>
    <row r="13" spans="1:8" s="187" customFormat="1" hidden="1">
      <c r="A13" s="159"/>
      <c r="B13" s="188"/>
      <c r="C13" s="159"/>
      <c r="D13" s="221"/>
      <c r="E13" s="221"/>
      <c r="F13" s="222"/>
      <c r="G13" s="407"/>
      <c r="H13" s="407"/>
    </row>
    <row r="14" spans="1:8" s="303" customFormat="1" ht="45">
      <c r="A14" s="300" t="s">
        <v>367</v>
      </c>
      <c r="B14" s="301" t="s">
        <v>366</v>
      </c>
      <c r="C14" s="159" t="s">
        <v>454</v>
      </c>
      <c r="D14" s="304" t="s">
        <v>368</v>
      </c>
      <c r="E14" s="304" t="s">
        <v>369</v>
      </c>
      <c r="F14" s="302">
        <v>93000000</v>
      </c>
      <c r="G14" s="502"/>
      <c r="H14" s="502">
        <v>70000000</v>
      </c>
    </row>
    <row r="15" spans="1:8" s="187" customFormat="1" hidden="1">
      <c r="A15" s="159"/>
      <c r="B15" s="159"/>
      <c r="C15" s="159"/>
      <c r="D15" s="221"/>
      <c r="E15" s="302"/>
      <c r="F15" s="302"/>
      <c r="G15" s="502"/>
      <c r="H15" s="502"/>
    </row>
    <row r="16" spans="1:8" s="187" customFormat="1" ht="36" customHeight="1">
      <c r="A16" s="188" t="s">
        <v>475</v>
      </c>
      <c r="B16" s="188" t="s">
        <v>477</v>
      </c>
      <c r="C16" s="159" t="s">
        <v>454</v>
      </c>
      <c r="D16" s="221">
        <v>55000000</v>
      </c>
      <c r="E16" s="222">
        <v>0</v>
      </c>
      <c r="F16" s="222">
        <f>D16-E16</f>
        <v>55000000</v>
      </c>
      <c r="G16" s="407"/>
      <c r="H16" s="407">
        <v>14000000</v>
      </c>
    </row>
    <row r="17" spans="1:9" customFormat="1" hidden="1">
      <c r="A17" s="442"/>
      <c r="B17" s="441"/>
      <c r="C17" s="441"/>
      <c r="D17" s="444"/>
      <c r="E17" s="444"/>
      <c r="F17" s="443"/>
      <c r="G17" s="407"/>
      <c r="H17" s="407"/>
      <c r="I17" s="187"/>
    </row>
    <row r="18" spans="1:9" hidden="1">
      <c r="A18" s="552"/>
      <c r="B18" s="552"/>
      <c r="C18" s="441"/>
      <c r="D18" s="553"/>
      <c r="E18" s="553">
        <v>0</v>
      </c>
      <c r="F18" s="553"/>
      <c r="G18" s="553"/>
      <c r="H18" s="553"/>
    </row>
  </sheetData>
  <mergeCells count="2">
    <mergeCell ref="A3:F3"/>
    <mergeCell ref="A4:F4"/>
  </mergeCells>
  <phoneticPr fontId="1" type="noConversion"/>
  <printOptions horizontalCentered="1"/>
  <pageMargins left="0.15748031496062992" right="0.15748031496062992" top="0.23622047244094491" bottom="0.15748031496062992" header="0.23622047244094491" footer="0.15748031496062992"/>
  <pageSetup paperSize="9" scale="8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BB8D9-739E-44E0-B163-59C2593718E7}">
  <dimension ref="A2:F30"/>
  <sheetViews>
    <sheetView workbookViewId="0">
      <selection activeCell="B20" sqref="B20"/>
    </sheetView>
  </sheetViews>
  <sheetFormatPr defaultRowHeight="12.75"/>
  <cols>
    <col min="1" max="1" width="36.7109375" style="13" customWidth="1"/>
    <col min="2" max="3" width="15.7109375" style="13" customWidth="1"/>
    <col min="4" max="4" width="15.85546875" style="13" customWidth="1"/>
    <col min="5" max="16384" width="9.140625" style="13"/>
  </cols>
  <sheetData>
    <row r="2" spans="1:5">
      <c r="A2" s="12" t="s">
        <v>97</v>
      </c>
      <c r="B2" s="13" t="str">
        <f>'bev-int'!B1</f>
        <v>melléklet a …/2024. (.  .) önkormányzati rendelethez</v>
      </c>
    </row>
    <row r="3" spans="1:5">
      <c r="A3" s="12"/>
    </row>
    <row r="5" spans="1:5">
      <c r="A5" s="1089" t="s">
        <v>795</v>
      </c>
      <c r="B5" s="1089"/>
      <c r="C5" s="1089"/>
      <c r="D5" s="1089"/>
    </row>
    <row r="6" spans="1:5">
      <c r="A6" s="1089" t="s">
        <v>73</v>
      </c>
      <c r="B6" s="1089"/>
      <c r="C6" s="1089"/>
      <c r="D6" s="1089"/>
    </row>
    <row r="7" spans="1:5">
      <c r="A7" s="93"/>
      <c r="B7" s="93"/>
      <c r="C7" s="93"/>
      <c r="D7" s="93"/>
    </row>
    <row r="8" spans="1:5">
      <c r="A8" s="93"/>
      <c r="B8" s="93"/>
      <c r="C8" s="93"/>
      <c r="D8" s="93"/>
    </row>
    <row r="9" spans="1:5">
      <c r="A9" s="93"/>
      <c r="B9" s="93"/>
      <c r="C9" s="93"/>
      <c r="D9" s="93"/>
    </row>
    <row r="10" spans="1:5" ht="13.5" thickBot="1">
      <c r="D10" s="186" t="s">
        <v>641</v>
      </c>
    </row>
    <row r="11" spans="1:5" ht="13.5" thickBot="1">
      <c r="A11" s="1113" t="s">
        <v>69</v>
      </c>
      <c r="B11" s="1115" t="s">
        <v>74</v>
      </c>
      <c r="C11" s="1117" t="s">
        <v>75</v>
      </c>
      <c r="D11" s="1119" t="s">
        <v>71</v>
      </c>
    </row>
    <row r="12" spans="1:5" ht="13.5" thickBot="1">
      <c r="A12" s="1114"/>
      <c r="B12" s="1116"/>
      <c r="C12" s="1118"/>
      <c r="D12" s="1120"/>
    </row>
    <row r="13" spans="1:5">
      <c r="A13" s="137" t="s">
        <v>45</v>
      </c>
      <c r="B13" s="723">
        <f>m_mérl_!C20</f>
        <v>2181310665.1999998</v>
      </c>
      <c r="C13" s="723">
        <f>f_mérl_!C20</f>
        <v>1617233738</v>
      </c>
      <c r="D13" s="568">
        <f>SUM(B13:C13)</f>
        <v>3798544403.1999998</v>
      </c>
      <c r="E13" s="17"/>
    </row>
    <row r="14" spans="1:5" ht="13.5" thickBot="1">
      <c r="A14" s="138" t="s">
        <v>46</v>
      </c>
      <c r="B14" s="724">
        <f>m_mérl_!F20</f>
        <v>2866359030</v>
      </c>
      <c r="C14" s="724">
        <f>f_mérl_!F20</f>
        <v>3956718364</v>
      </c>
      <c r="D14" s="725">
        <f>SUM(B14:C14)</f>
        <v>6823077394</v>
      </c>
      <c r="E14" s="17"/>
    </row>
    <row r="15" spans="1:5" ht="27.75" customHeight="1" thickBot="1">
      <c r="A15" s="139" t="s">
        <v>51</v>
      </c>
      <c r="B15" s="726">
        <f>B13-B14</f>
        <v>-685048364.80000019</v>
      </c>
      <c r="C15" s="726">
        <f>C13-C14</f>
        <v>-2339484626</v>
      </c>
      <c r="D15" s="727">
        <f>SUM(B15:C15)</f>
        <v>-3024532990.8000002</v>
      </c>
      <c r="E15" s="17"/>
    </row>
    <row r="16" spans="1:5" ht="27.75" customHeight="1">
      <c r="A16" s="140" t="s">
        <v>50</v>
      </c>
      <c r="B16" s="728"/>
      <c r="C16" s="728"/>
      <c r="D16" s="729"/>
      <c r="E16" s="17"/>
    </row>
    <row r="17" spans="1:6" ht="12.75" customHeight="1">
      <c r="A17" s="141" t="s">
        <v>52</v>
      </c>
      <c r="B17" s="730">
        <f>m_mérl_!C23</f>
        <v>414537939</v>
      </c>
      <c r="C17" s="730">
        <f>f_mérl_!C23</f>
        <v>2653300594</v>
      </c>
      <c r="D17" s="569">
        <f t="shared" ref="D17:D23" si="0">SUM(B17:C17)</f>
        <v>3067838533</v>
      </c>
      <c r="E17" s="17"/>
    </row>
    <row r="18" spans="1:6">
      <c r="A18" s="141" t="s">
        <v>53</v>
      </c>
      <c r="B18" s="730">
        <f>m_mérl_!C26</f>
        <v>1344656174</v>
      </c>
      <c r="C18" s="730">
        <f>f_mérl_!C26</f>
        <v>41702900</v>
      </c>
      <c r="D18" s="569">
        <f t="shared" si="0"/>
        <v>1386359074</v>
      </c>
      <c r="E18" s="17"/>
    </row>
    <row r="19" spans="1:6">
      <c r="A19" s="141" t="s">
        <v>37</v>
      </c>
      <c r="B19" s="730">
        <v>71302</v>
      </c>
      <c r="C19" s="730"/>
      <c r="D19" s="569">
        <f t="shared" si="0"/>
        <v>71302</v>
      </c>
      <c r="E19" s="17"/>
    </row>
    <row r="20" spans="1:6" ht="25.5">
      <c r="A20" s="141" t="str">
        <f>'bev-int'!A38</f>
        <v>Betétek megszüntetése, kincstárjegy vissszavásárlás</v>
      </c>
      <c r="B20" s="730">
        <f>m_mérl_!C27</f>
        <v>0</v>
      </c>
      <c r="C20" s="730">
        <f>f_mérl_!C27</f>
        <v>0</v>
      </c>
      <c r="D20" s="569">
        <f t="shared" si="0"/>
        <v>0</v>
      </c>
      <c r="E20" s="17"/>
    </row>
    <row r="21" spans="1:6">
      <c r="A21" s="141" t="str">
        <f>'kiad-int'!A26</f>
        <v>ÁH belüli megelőlegezések visszafizetése</v>
      </c>
      <c r="B21" s="730">
        <f>m_mérl_!F24</f>
        <v>43376844</v>
      </c>
      <c r="C21" s="730"/>
      <c r="D21" s="569">
        <f t="shared" si="0"/>
        <v>43376844</v>
      </c>
      <c r="E21" s="17"/>
    </row>
    <row r="22" spans="1:6">
      <c r="A22" s="141" t="s">
        <v>54</v>
      </c>
      <c r="B22" s="730">
        <f>m_mérl_!F25</f>
        <v>1344656174</v>
      </c>
      <c r="C22" s="730">
        <f>f_mérl_!F25</f>
        <v>41702900</v>
      </c>
      <c r="D22" s="569">
        <f t="shared" si="0"/>
        <v>1386359074</v>
      </c>
      <c r="E22" s="17"/>
    </row>
    <row r="23" spans="1:6">
      <c r="A23" s="288" t="str">
        <f>'kiad-int'!A28</f>
        <v>Pe.betétként elhelyezése, kincstárjegy vás.</v>
      </c>
      <c r="B23" s="724">
        <f>m_mérl_!F26</f>
        <v>0</v>
      </c>
      <c r="C23" s="724"/>
      <c r="D23" s="569">
        <f t="shared" si="0"/>
        <v>0</v>
      </c>
      <c r="E23" s="17"/>
    </row>
    <row r="24" spans="1:6" ht="13.5" thickBot="1">
      <c r="A24" s="142"/>
      <c r="B24" s="731"/>
      <c r="C24" s="731"/>
      <c r="D24" s="732"/>
      <c r="E24" s="17"/>
    </row>
    <row r="25" spans="1:6" ht="43.5" customHeight="1">
      <c r="A25" s="143" t="s">
        <v>47</v>
      </c>
      <c r="B25" s="733">
        <f>B15+B17+B18+B20-B21-B22-B23+B19</f>
        <v>-313815967.80000019</v>
      </c>
      <c r="C25" s="733">
        <f>C15+C17+C18+C20-C21-C22-C23+C19</f>
        <v>313815968</v>
      </c>
      <c r="D25" s="733">
        <f>D15+D17+D18+D20-D21-D22-D23+D19</f>
        <v>0.19999980926513672</v>
      </c>
      <c r="E25" s="17"/>
    </row>
    <row r="26" spans="1:6">
      <c r="B26" s="16"/>
      <c r="C26" s="16"/>
      <c r="D26" s="16"/>
    </row>
    <row r="27" spans="1:6">
      <c r="B27" s="16"/>
      <c r="C27" s="16"/>
      <c r="D27" s="16"/>
    </row>
    <row r="28" spans="1:6">
      <c r="B28" s="16"/>
      <c r="C28" s="16"/>
      <c r="D28" s="16"/>
      <c r="F28" s="55"/>
    </row>
    <row r="29" spans="1:6">
      <c r="B29" s="16"/>
      <c r="C29" s="16"/>
      <c r="D29" s="16"/>
    </row>
    <row r="30" spans="1:6">
      <c r="B30" s="16"/>
      <c r="C30" s="16"/>
      <c r="D30" s="16"/>
    </row>
  </sheetData>
  <mergeCells count="6">
    <mergeCell ref="A5:D5"/>
    <mergeCell ref="A6:D6"/>
    <mergeCell ref="A11:A12"/>
    <mergeCell ref="B11:B12"/>
    <mergeCell ref="C11:C12"/>
    <mergeCell ref="D11:D1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A540-7A4D-45F2-BBAD-839E85011579}">
  <dimension ref="A2:D27"/>
  <sheetViews>
    <sheetView workbookViewId="0">
      <selection activeCell="A5" sqref="A5:D5"/>
    </sheetView>
  </sheetViews>
  <sheetFormatPr defaultRowHeight="12.75"/>
  <cols>
    <col min="1" max="1" width="36.7109375" style="15" customWidth="1"/>
    <col min="2" max="4" width="15.7109375" style="15" customWidth="1"/>
    <col min="5" max="16384" width="9.140625" style="15"/>
  </cols>
  <sheetData>
    <row r="2" spans="1:4">
      <c r="A2" s="14" t="s">
        <v>98</v>
      </c>
      <c r="B2" s="15" t="str">
        <f>'bev-int'!B1</f>
        <v>melléklet a …/2024. (.  .) önkormányzati rendelethez</v>
      </c>
    </row>
    <row r="3" spans="1:4">
      <c r="A3" s="14"/>
    </row>
    <row r="5" spans="1:4">
      <c r="A5" s="1121" t="s">
        <v>795</v>
      </c>
      <c r="B5" s="1121"/>
      <c r="C5" s="1121"/>
      <c r="D5" s="1121"/>
    </row>
    <row r="6" spans="1:4">
      <c r="A6" s="1121" t="s">
        <v>76</v>
      </c>
      <c r="B6" s="1121"/>
      <c r="C6" s="1121"/>
      <c r="D6" s="1121"/>
    </row>
    <row r="7" spans="1:4">
      <c r="A7" s="54"/>
      <c r="B7" s="54"/>
      <c r="C7" s="54"/>
      <c r="D7" s="54"/>
    </row>
    <row r="8" spans="1:4">
      <c r="A8" s="54"/>
      <c r="B8" s="54"/>
      <c r="C8" s="54"/>
      <c r="D8" s="54"/>
    </row>
    <row r="9" spans="1:4" ht="13.5" thickBot="1">
      <c r="D9" s="734" t="s">
        <v>310</v>
      </c>
    </row>
    <row r="10" spans="1:4" ht="13.5" thickBot="1">
      <c r="A10" s="1122" t="s">
        <v>69</v>
      </c>
      <c r="B10" s="1124" t="s">
        <v>74</v>
      </c>
      <c r="C10" s="1126" t="s">
        <v>75</v>
      </c>
      <c r="D10" s="1128" t="s">
        <v>71</v>
      </c>
    </row>
    <row r="11" spans="1:4" ht="13.5" thickBot="1">
      <c r="A11" s="1123"/>
      <c r="B11" s="1125"/>
      <c r="C11" s="1127"/>
      <c r="D11" s="1129"/>
    </row>
    <row r="12" spans="1:4">
      <c r="A12" s="56" t="s">
        <v>45</v>
      </c>
      <c r="B12" s="723">
        <f>'belső fin_ '!B13</f>
        <v>2181310665.1999998</v>
      </c>
      <c r="C12" s="723">
        <f>'belső fin_ '!C13</f>
        <v>1617233738</v>
      </c>
      <c r="D12" s="568">
        <f t="shared" ref="D12:D17" si="0">SUM(B12:C12)</f>
        <v>3798544403.1999998</v>
      </c>
    </row>
    <row r="13" spans="1:4" ht="13.5" thickBot="1">
      <c r="A13" s="57" t="s">
        <v>48</v>
      </c>
      <c r="B13" s="735">
        <f>'belső fin_ '!B14</f>
        <v>2866359030</v>
      </c>
      <c r="C13" s="735">
        <f>'belső fin_ '!C14</f>
        <v>3956718364</v>
      </c>
      <c r="D13" s="725">
        <f t="shared" si="0"/>
        <v>6823077394</v>
      </c>
    </row>
    <row r="14" spans="1:4" ht="25.5" customHeight="1" thickBot="1">
      <c r="A14" s="58" t="s">
        <v>49</v>
      </c>
      <c r="B14" s="736">
        <f>B12-B13</f>
        <v>-685048364.80000019</v>
      </c>
      <c r="C14" s="736">
        <f>C12-C13</f>
        <v>-2339484626</v>
      </c>
      <c r="D14" s="737">
        <f>D12-D13</f>
        <v>-3024532990.8000002</v>
      </c>
    </row>
    <row r="15" spans="1:4">
      <c r="A15" s="59" t="s">
        <v>164</v>
      </c>
      <c r="B15" s="738">
        <f>'belső fin_ '!B17+'belső fin_ '!B18+'belső fin_ '!B20+'belső fin_ '!B19</f>
        <v>1759265415</v>
      </c>
      <c r="C15" s="738">
        <f>'belső fin_ '!C17+'belső fin_ '!C18+'belső fin_ '!C20</f>
        <v>2695003494</v>
      </c>
      <c r="D15" s="568">
        <f t="shared" si="0"/>
        <v>4454268909</v>
      </c>
    </row>
    <row r="16" spans="1:4">
      <c r="A16" s="60" t="s">
        <v>165</v>
      </c>
      <c r="B16" s="730">
        <f>'belső fin_ '!B21+'belső fin_ '!B22+'belső fin_ '!B23</f>
        <v>1388033018</v>
      </c>
      <c r="C16" s="730">
        <f>'belső fin_ '!C21+'belső fin_ '!C22</f>
        <v>41702900</v>
      </c>
      <c r="D16" s="569">
        <f t="shared" si="0"/>
        <v>1429735918</v>
      </c>
    </row>
    <row r="17" spans="1:4" ht="13.5" thickBot="1">
      <c r="A17" s="61"/>
      <c r="B17" s="724"/>
      <c r="C17" s="724"/>
      <c r="D17" s="215">
        <f t="shared" si="0"/>
        <v>0</v>
      </c>
    </row>
    <row r="18" spans="1:4" ht="25.5" customHeight="1" thickBot="1">
      <c r="A18" s="62" t="s">
        <v>78</v>
      </c>
      <c r="B18" s="739">
        <f>B14+B15-B16</f>
        <v>-313815967.80000019</v>
      </c>
      <c r="C18" s="739">
        <f>C14+C15-C16</f>
        <v>313815968</v>
      </c>
      <c r="D18" s="727">
        <f>D14+D15-D16</f>
        <v>0.19999980926513672</v>
      </c>
    </row>
    <row r="19" spans="1:4">
      <c r="A19" s="59" t="s">
        <v>449</v>
      </c>
      <c r="B19" s="723">
        <f>m_mérl_!C29+m_mérl_!C30</f>
        <v>0</v>
      </c>
      <c r="C19" s="723">
        <f>f_mérl_!C29+f_mérl_!C30</f>
        <v>0</v>
      </c>
      <c r="D19" s="568">
        <f>SUM(B19:C19)</f>
        <v>0</v>
      </c>
    </row>
    <row r="20" spans="1:4" ht="12.75" customHeight="1">
      <c r="A20" s="63" t="s">
        <v>216</v>
      </c>
      <c r="B20" s="730">
        <f>m_mérl_!F29+m_mérl_!F30</f>
        <v>0</v>
      </c>
      <c r="C20" s="730">
        <f>f_mérl_!F29+f_mérl_!F30</f>
        <v>0</v>
      </c>
      <c r="D20" s="569">
        <f>SUM(B20:C20)</f>
        <v>0</v>
      </c>
    </row>
    <row r="21" spans="1:4" ht="13.5" thickBot="1">
      <c r="A21" s="64"/>
      <c r="B21" s="731"/>
      <c r="C21" s="731"/>
      <c r="D21" s="732"/>
    </row>
    <row r="22" spans="1:4" ht="13.5" thickBot="1">
      <c r="A22" s="65" t="s">
        <v>79</v>
      </c>
      <c r="B22" s="740">
        <f>B18+B19-B20</f>
        <v>-313815967.80000019</v>
      </c>
      <c r="C22" s="740">
        <f>C18+C19-C20</f>
        <v>313815968</v>
      </c>
      <c r="D22" s="741">
        <f>D18+D19-D20</f>
        <v>0.19999980926513672</v>
      </c>
    </row>
    <row r="23" spans="1:4">
      <c r="B23" s="16"/>
      <c r="C23" s="16"/>
      <c r="D23" s="16"/>
    </row>
    <row r="24" spans="1:4">
      <c r="B24" s="16"/>
      <c r="C24" s="16"/>
      <c r="D24" s="16"/>
    </row>
    <row r="25" spans="1:4">
      <c r="B25" s="16"/>
      <c r="C25" s="16"/>
      <c r="D25" s="16"/>
    </row>
    <row r="26" spans="1:4">
      <c r="B26" s="16"/>
      <c r="C26" s="16"/>
      <c r="D26" s="16"/>
    </row>
    <row r="27" spans="1:4">
      <c r="B27" s="16"/>
      <c r="C27" s="16"/>
      <c r="D27" s="16"/>
    </row>
  </sheetData>
  <mergeCells count="6">
    <mergeCell ref="A5:D5"/>
    <mergeCell ref="A6:D6"/>
    <mergeCell ref="A10:A11"/>
    <mergeCell ref="B10:B11"/>
    <mergeCell ref="C10:C11"/>
    <mergeCell ref="D10:D1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4275-4C65-4F31-A1BC-A5BAA9FC4158}">
  <dimension ref="A1:G51"/>
  <sheetViews>
    <sheetView workbookViewId="0">
      <selection activeCell="G20" sqref="G20"/>
    </sheetView>
  </sheetViews>
  <sheetFormatPr defaultRowHeight="12.75"/>
  <cols>
    <col min="1" max="1" width="5.5703125" style="13" customWidth="1"/>
    <col min="2" max="2" width="44" style="13" customWidth="1"/>
    <col min="3" max="4" width="15.5703125" style="13" customWidth="1"/>
    <col min="5" max="5" width="18.7109375" style="13" customWidth="1"/>
    <col min="6" max="16384" width="9.140625" style="13"/>
  </cols>
  <sheetData>
    <row r="1" spans="1:7">
      <c r="A1" s="12" t="s">
        <v>99</v>
      </c>
      <c r="B1" s="12" t="str">
        <f>'bev-int'!B1</f>
        <v>melléklet a …/2024. (.  .) önkormányzati rendelethez</v>
      </c>
    </row>
    <row r="3" spans="1:7">
      <c r="B3" s="1089" t="s">
        <v>773</v>
      </c>
      <c r="C3" s="1089"/>
      <c r="D3" s="1089"/>
      <c r="E3" s="144"/>
      <c r="F3" s="144"/>
    </row>
    <row r="4" spans="1:7">
      <c r="B4" s="144"/>
      <c r="C4" s="144"/>
      <c r="D4" s="144"/>
      <c r="E4" s="144"/>
      <c r="F4" s="144"/>
    </row>
    <row r="6" spans="1:7" s="76" customFormat="1" thickBot="1"/>
    <row r="7" spans="1:7" s="84" customFormat="1" thickBot="1">
      <c r="B7" s="744" t="s">
        <v>55</v>
      </c>
      <c r="C7" s="745" t="s">
        <v>16</v>
      </c>
      <c r="D7" s="746" t="s">
        <v>442</v>
      </c>
      <c r="E7" s="83"/>
      <c r="F7" s="83"/>
      <c r="G7" s="83"/>
    </row>
    <row r="8" spans="1:7" s="85" customFormat="1" ht="12">
      <c r="B8" s="743" t="s">
        <v>17</v>
      </c>
      <c r="C8" s="996">
        <f>SUM(C10,C13,C17,C21)</f>
        <v>55216212</v>
      </c>
      <c r="D8" s="996">
        <f>SUM(D10,D13,D17,D21)</f>
        <v>31449922</v>
      </c>
    </row>
    <row r="9" spans="1:7" s="85" customFormat="1" ht="12">
      <c r="B9" s="529"/>
      <c r="C9" s="997"/>
      <c r="D9" s="997"/>
    </row>
    <row r="10" spans="1:7" s="86" customFormat="1" ht="12">
      <c r="B10" s="530" t="s">
        <v>18</v>
      </c>
      <c r="C10" s="998">
        <f>SUM(C11:C12)</f>
        <v>55216212</v>
      </c>
      <c r="D10" s="998">
        <f>SUM(D11:D12)</f>
        <v>31449922</v>
      </c>
    </row>
    <row r="11" spans="1:7" s="84" customFormat="1" ht="12">
      <c r="B11" s="531" t="s">
        <v>266</v>
      </c>
      <c r="C11" s="999">
        <v>53081212</v>
      </c>
      <c r="D11" s="999">
        <f>53081212-23697289-69001</f>
        <v>29314922</v>
      </c>
    </row>
    <row r="12" spans="1:7" s="84" customFormat="1" ht="12">
      <c r="B12" s="532" t="s">
        <v>617</v>
      </c>
      <c r="C12" s="1000">
        <v>2135000</v>
      </c>
      <c r="D12" s="1000">
        <v>2135000</v>
      </c>
    </row>
    <row r="13" spans="1:7" s="86" customFormat="1" ht="12">
      <c r="B13" s="530" t="s">
        <v>19</v>
      </c>
      <c r="C13" s="998">
        <f>SUM(C14:C15)</f>
        <v>0</v>
      </c>
      <c r="D13" s="998">
        <f>SUM(D14:D15)</f>
        <v>0</v>
      </c>
    </row>
    <row r="14" spans="1:7" s="84" customFormat="1" ht="12">
      <c r="B14" s="531"/>
      <c r="C14" s="1000"/>
      <c r="D14" s="1000"/>
    </row>
    <row r="15" spans="1:7" s="84" customFormat="1" ht="12">
      <c r="B15" s="531"/>
      <c r="C15" s="1000"/>
      <c r="D15" s="1000"/>
    </row>
    <row r="16" spans="1:7" s="84" customFormat="1" ht="12">
      <c r="B16" s="531"/>
      <c r="C16" s="1000"/>
      <c r="D16" s="1000"/>
    </row>
    <row r="17" spans="2:6" s="84" customFormat="1" ht="12">
      <c r="B17" s="530" t="s">
        <v>20</v>
      </c>
      <c r="C17" s="998">
        <f>SUM(C18:C19)</f>
        <v>0</v>
      </c>
      <c r="D17" s="998">
        <f>SUM(D18:D19)</f>
        <v>0</v>
      </c>
    </row>
    <row r="18" spans="2:6" s="84" customFormat="1" ht="12">
      <c r="B18" s="531"/>
      <c r="C18" s="1000"/>
      <c r="D18" s="1000"/>
    </row>
    <row r="19" spans="2:6" s="84" customFormat="1" ht="12">
      <c r="B19" s="531"/>
      <c r="C19" s="1000"/>
      <c r="D19" s="1000"/>
    </row>
    <row r="20" spans="2:6" s="84" customFormat="1" ht="12">
      <c r="B20" s="531"/>
      <c r="C20" s="1000"/>
      <c r="D20" s="1000"/>
    </row>
    <row r="21" spans="2:6" s="84" customFormat="1" ht="12">
      <c r="B21" s="530" t="s">
        <v>21</v>
      </c>
      <c r="C21" s="998">
        <f>SUM(C22)</f>
        <v>0</v>
      </c>
      <c r="D21" s="998">
        <f>SUM(D22)</f>
        <v>0</v>
      </c>
    </row>
    <row r="22" spans="2:6" s="84" customFormat="1" ht="12">
      <c r="B22" s="531"/>
      <c r="C22" s="1000"/>
      <c r="D22" s="1000"/>
    </row>
    <row r="23" spans="2:6" s="84" customFormat="1" ht="12">
      <c r="B23" s="531"/>
      <c r="C23" s="1000"/>
      <c r="D23" s="1000"/>
    </row>
    <row r="24" spans="2:6" s="85" customFormat="1" ht="12">
      <c r="B24" s="528" t="s">
        <v>22</v>
      </c>
      <c r="C24" s="1001">
        <f>SUM(C26,C29)</f>
        <v>65100000</v>
      </c>
      <c r="D24" s="1001">
        <f>SUM(D26,D29)</f>
        <v>65100000</v>
      </c>
    </row>
    <row r="25" spans="2:6" s="85" customFormat="1" ht="12">
      <c r="B25" s="530"/>
      <c r="C25" s="998"/>
      <c r="D25" s="998"/>
    </row>
    <row r="26" spans="2:6" s="86" customFormat="1" ht="12">
      <c r="B26" s="530" t="s">
        <v>23</v>
      </c>
      <c r="C26" s="998">
        <f>SUM(C27)</f>
        <v>0</v>
      </c>
      <c r="D26" s="998">
        <f>SUM(D27)</f>
        <v>0</v>
      </c>
    </row>
    <row r="27" spans="2:6" s="84" customFormat="1" ht="12">
      <c r="B27" s="531"/>
      <c r="C27" s="1000"/>
      <c r="D27" s="1000"/>
    </row>
    <row r="28" spans="2:6" s="84" customFormat="1" ht="12">
      <c r="B28" s="531"/>
      <c r="C28" s="1000"/>
      <c r="D28" s="1000"/>
    </row>
    <row r="29" spans="2:6" s="84" customFormat="1" ht="12">
      <c r="B29" s="530" t="s">
        <v>24</v>
      </c>
      <c r="C29" s="998">
        <f>SUM(C30:C34)</f>
        <v>65100000</v>
      </c>
      <c r="D29" s="998">
        <f>SUM(D30:D34)</f>
        <v>65100000</v>
      </c>
      <c r="F29" s="521"/>
    </row>
    <row r="30" spans="2:6" s="84" customFormat="1" ht="22.5">
      <c r="B30" s="742" t="s">
        <v>656</v>
      </c>
      <c r="C30" s="999">
        <v>65100000</v>
      </c>
      <c r="D30" s="999">
        <v>65100000</v>
      </c>
    </row>
    <row r="31" spans="2:6" s="84" customFormat="1" ht="12">
      <c r="B31" s="532"/>
      <c r="C31" s="999"/>
      <c r="D31" s="999"/>
    </row>
    <row r="32" spans="2:6" s="84" customFormat="1" ht="12">
      <c r="B32" s="532"/>
      <c r="C32" s="999"/>
      <c r="D32" s="999"/>
    </row>
    <row r="33" spans="2:5" s="84" customFormat="1" ht="12">
      <c r="B33" s="532"/>
      <c r="C33" s="999"/>
      <c r="D33" s="999"/>
    </row>
    <row r="34" spans="2:5" s="84" customFormat="1" ht="12">
      <c r="B34" s="532"/>
      <c r="C34" s="999"/>
      <c r="D34" s="999"/>
    </row>
    <row r="35" spans="2:5" s="84" customFormat="1" ht="12">
      <c r="B35" s="531"/>
      <c r="C35" s="1000"/>
      <c r="D35" s="1000"/>
    </row>
    <row r="36" spans="2:5" s="86" customFormat="1" ht="12">
      <c r="B36" s="530" t="s">
        <v>21</v>
      </c>
      <c r="C36" s="998">
        <f>SUM(C37)</f>
        <v>0</v>
      </c>
      <c r="D36" s="998">
        <f>SUM(D37)</f>
        <v>0</v>
      </c>
    </row>
    <row r="37" spans="2:5" s="86" customFormat="1" ht="12">
      <c r="B37" s="530"/>
      <c r="C37" s="998"/>
      <c r="D37" s="998"/>
    </row>
    <row r="38" spans="2:5" s="84" customFormat="1" ht="12">
      <c r="B38" s="531"/>
      <c r="C38" s="1000"/>
      <c r="D38" s="1000"/>
    </row>
    <row r="39" spans="2:5" s="86" customFormat="1" thickBot="1">
      <c r="B39" s="533" t="s">
        <v>25</v>
      </c>
      <c r="C39" s="1002">
        <f>C8+C24</f>
        <v>120316212</v>
      </c>
      <c r="D39" s="1002">
        <f>D8+D24</f>
        <v>96549922</v>
      </c>
      <c r="E39" s="522"/>
    </row>
    <row r="40" spans="2:5" s="76" customFormat="1" ht="12">
      <c r="C40" s="715"/>
      <c r="D40" s="178"/>
    </row>
    <row r="41" spans="2:5" s="76" customFormat="1" ht="12">
      <c r="C41" s="715"/>
      <c r="D41" s="178"/>
    </row>
    <row r="42" spans="2:5" s="76" customFormat="1" ht="12">
      <c r="C42" s="715"/>
      <c r="D42" s="178"/>
    </row>
    <row r="43" spans="2:5" s="76" customFormat="1" ht="12">
      <c r="C43" s="178"/>
      <c r="D43" s="178"/>
    </row>
    <row r="44" spans="2:5" s="76" customFormat="1" ht="12">
      <c r="C44" s="178"/>
      <c r="D44" s="178"/>
    </row>
    <row r="45" spans="2:5" s="76" customFormat="1" ht="12">
      <c r="C45" s="178"/>
      <c r="D45" s="178"/>
    </row>
    <row r="46" spans="2:5" s="76" customFormat="1" ht="12">
      <c r="C46" s="178"/>
      <c r="D46" s="178"/>
    </row>
    <row r="47" spans="2:5" s="76" customFormat="1" ht="12">
      <c r="C47" s="178"/>
      <c r="D47" s="178"/>
    </row>
    <row r="48" spans="2:5" s="76" customFormat="1" ht="12">
      <c r="C48" s="178"/>
      <c r="D48" s="178"/>
    </row>
    <row r="49" spans="3:4" s="76" customFormat="1" ht="12">
      <c r="C49" s="178"/>
      <c r="D49" s="178"/>
    </row>
    <row r="50" spans="3:4" s="76" customFormat="1" ht="12"/>
    <row r="51" spans="3:4" s="76" customFormat="1" ht="12"/>
  </sheetData>
  <mergeCells count="1">
    <mergeCell ref="B3:D3"/>
  </mergeCells>
  <phoneticPr fontId="1" type="noConversion"/>
  <printOptions horizontalCentered="1"/>
  <pageMargins left="0.17" right="0.74803149606299213" top="1.1200000000000001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1</vt:i4>
      </vt:variant>
    </vt:vector>
  </HeadingPairs>
  <TitlesOfParts>
    <vt:vector size="30" baseType="lpstr">
      <vt:lpstr>bev-int</vt:lpstr>
      <vt:lpstr>kiad-int</vt:lpstr>
      <vt:lpstr>szoc_k_</vt:lpstr>
      <vt:lpstr>beruh</vt:lpstr>
      <vt:lpstr>felúj</vt:lpstr>
      <vt:lpstr>eu_s pr_</vt:lpstr>
      <vt:lpstr>belső fin_ </vt:lpstr>
      <vt:lpstr>külső fin_</vt:lpstr>
      <vt:lpstr>tart_</vt:lpstr>
      <vt:lpstr>önk.bev.cofog</vt:lpstr>
      <vt:lpstr>önk.kiad.cofog</vt:lpstr>
      <vt:lpstr>ph bev.cofog</vt:lpstr>
      <vt:lpstr>ph kiad cofog</vt:lpstr>
      <vt:lpstr>i-bev</vt:lpstr>
      <vt:lpstr>i-kiad</vt:lpstr>
      <vt:lpstr>létsz</vt:lpstr>
      <vt:lpstr>Stab_tv_</vt:lpstr>
      <vt:lpstr>egyenleg</vt:lpstr>
      <vt:lpstr>b_k_ré</vt:lpstr>
      <vt:lpstr>hköt</vt:lpstr>
      <vt:lpstr>mérl_</vt:lpstr>
      <vt:lpstr>m_mérl_</vt:lpstr>
      <vt:lpstr>f_mérl_</vt:lpstr>
      <vt:lpstr>kedv_</vt:lpstr>
      <vt:lpstr>3émérl</vt:lpstr>
      <vt:lpstr>eifelh</vt:lpstr>
      <vt:lpstr>Áll.hj.</vt:lpstr>
      <vt:lpstr>maradv.cél szerinti tag</vt:lpstr>
      <vt:lpstr>Munka2</vt:lpstr>
      <vt:lpstr>b_k_ré!Nyomtatási_cím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</dc:creator>
  <cp:lastModifiedBy>Skrihár Tünde</cp:lastModifiedBy>
  <cp:lastPrinted>2024-09-13T08:47:09Z</cp:lastPrinted>
  <dcterms:created xsi:type="dcterms:W3CDTF">2015-06-02T11:43:29Z</dcterms:created>
  <dcterms:modified xsi:type="dcterms:W3CDTF">2024-09-13T08:50:58Z</dcterms:modified>
</cp:coreProperties>
</file>